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 activeTab="5"/>
  </bookViews>
  <sheets>
    <sheet name="ALL KRI MNR DATA (2018-2022)" sheetId="1" r:id="rId1"/>
    <sheet name="2022" sheetId="6" r:id="rId2"/>
    <sheet name="2021" sheetId="5" r:id="rId3"/>
    <sheet name="2020" sheetId="4" r:id="rId4"/>
    <sheet name="2019" sheetId="3" r:id="rId5"/>
    <sheet name="2018" sheetId="2" r:id="rId6"/>
    <sheet name="G Differe KRI &amp; Brent" sheetId="11" r:id="rId7"/>
    <sheet name="G brent &amp; KRI Price" sheetId="10" r:id="rId8"/>
    <sheet name="KRI &amp; Brent Price" sheetId="7" r:id="rId9"/>
    <sheet name="G Revenue" sheetId="18" r:id="rId10"/>
    <sheet name="Revnue, Cost &amp; NetIncome KRI" sheetId="12" r:id="rId11"/>
    <sheet name="G All Oil Export Ex &amp;In" sheetId="15" r:id="rId12"/>
    <sheet name="All Oil Export Ex &amp;In" sheetId="13" r:id="rId13"/>
  </sheets>
  <calcPr calcId="144525"/>
  <pivotCaches>
    <pivotCache cacheId="0" r:id="rId14"/>
    <pivotCache cacheId="1" r:id="rId15"/>
    <pivotCache cacheId="2" r:id="rId16"/>
  </pivotCaches>
</workbook>
</file>

<file path=xl/calcChain.xml><?xml version="1.0" encoding="utf-8"?>
<calcChain xmlns="http://schemas.openxmlformats.org/spreadsheetml/2006/main">
  <c r="C6" i="6" l="1"/>
  <c r="B6" i="6" s="1"/>
  <c r="B8" i="6"/>
  <c r="B9" i="6"/>
  <c r="B10" i="6"/>
  <c r="C8" i="6"/>
  <c r="C9" i="6"/>
  <c r="C10" i="6"/>
  <c r="C11" i="6"/>
  <c r="B11" i="6" s="1"/>
  <c r="C12" i="6"/>
  <c r="B12" i="6" s="1"/>
  <c r="C13" i="6"/>
  <c r="B13" i="6" s="1"/>
  <c r="C14" i="6"/>
  <c r="C15" i="6"/>
  <c r="C16" i="6"/>
  <c r="C17" i="6"/>
  <c r="C18" i="6"/>
  <c r="B18" i="6" s="1"/>
  <c r="C19" i="6"/>
  <c r="B19" i="6" s="1"/>
  <c r="C20" i="6"/>
  <c r="B20" i="6" s="1"/>
  <c r="C21" i="6"/>
  <c r="B21" i="6" s="1"/>
  <c r="C22" i="6"/>
  <c r="B22" i="6" s="1"/>
  <c r="C23" i="6"/>
  <c r="B23" i="6" s="1"/>
  <c r="C24" i="6"/>
  <c r="B24" i="6" s="1"/>
  <c r="C25" i="6"/>
  <c r="B25" i="6" s="1"/>
  <c r="C26" i="6"/>
  <c r="B26" i="6" s="1"/>
  <c r="C27" i="6"/>
  <c r="B27" i="6" s="1"/>
  <c r="C28" i="6"/>
  <c r="B28" i="6" s="1"/>
  <c r="C29" i="6"/>
  <c r="B29" i="6" s="1"/>
  <c r="C30" i="6"/>
  <c r="C31" i="6"/>
  <c r="B31" i="6" s="1"/>
  <c r="F28" i="12" l="1"/>
  <c r="F29" i="12"/>
  <c r="F30" i="12"/>
  <c r="G31" i="12"/>
  <c r="F31" i="12"/>
  <c r="E31" i="12"/>
  <c r="E30" i="12"/>
  <c r="E29" i="12"/>
  <c r="E28" i="12"/>
  <c r="E26" i="12"/>
  <c r="E25" i="12"/>
  <c r="E24" i="12"/>
  <c r="E23" i="12"/>
  <c r="F26" i="12"/>
  <c r="F25" i="12"/>
  <c r="F24" i="12"/>
  <c r="F23" i="12"/>
  <c r="G32" i="12"/>
  <c r="G30" i="12"/>
  <c r="G29" i="12"/>
  <c r="G28" i="12"/>
  <c r="G27" i="12"/>
  <c r="G26" i="12"/>
  <c r="G25" i="12"/>
  <c r="G24" i="12"/>
  <c r="G23" i="12"/>
  <c r="H23" i="12"/>
  <c r="H31" i="12"/>
  <c r="H32" i="12"/>
  <c r="H30" i="12"/>
  <c r="H29" i="12"/>
  <c r="H28" i="12"/>
  <c r="H27" i="12"/>
  <c r="H26" i="12"/>
  <c r="H25" i="12"/>
  <c r="H24" i="12"/>
  <c r="I7" i="13"/>
  <c r="I8" i="13"/>
  <c r="I9" i="13"/>
  <c r="I10" i="13"/>
  <c r="J10" i="13"/>
  <c r="J9" i="13"/>
  <c r="J8" i="13"/>
  <c r="J7" i="13"/>
  <c r="K11" i="13"/>
  <c r="K10" i="13"/>
  <c r="K9" i="13"/>
  <c r="K8" i="13"/>
  <c r="K7" i="13"/>
  <c r="L11" i="13"/>
  <c r="L10" i="13"/>
  <c r="L9" i="13"/>
  <c r="L8" i="13"/>
  <c r="L7" i="13"/>
  <c r="M10" i="7"/>
  <c r="M11" i="7"/>
  <c r="M12" i="7"/>
  <c r="M13" i="7"/>
  <c r="M14" i="7"/>
  <c r="M15" i="7"/>
  <c r="M16" i="7"/>
  <c r="M17" i="7"/>
  <c r="M21" i="7"/>
  <c r="M22" i="7"/>
  <c r="M23" i="7"/>
  <c r="M24" i="7"/>
  <c r="M25" i="7"/>
  <c r="M26" i="7"/>
  <c r="M9" i="7"/>
  <c r="N17" i="7"/>
  <c r="N10" i="7"/>
  <c r="N11" i="7"/>
  <c r="N12" i="7"/>
  <c r="N13" i="7"/>
  <c r="N14" i="7"/>
  <c r="N15" i="7"/>
  <c r="N16" i="7"/>
  <c r="N18" i="7"/>
  <c r="N19" i="7"/>
  <c r="N20" i="7"/>
  <c r="N21" i="7"/>
  <c r="N22" i="7"/>
  <c r="N23" i="7"/>
  <c r="N24" i="7"/>
  <c r="N25" i="7"/>
  <c r="N26" i="7"/>
  <c r="N9" i="7"/>
  <c r="F60" i="7"/>
  <c r="F12" i="7"/>
  <c r="F6" i="7"/>
  <c r="F21" i="7"/>
  <c r="F24" i="7"/>
  <c r="F27" i="7"/>
  <c r="F30" i="7"/>
  <c r="F33" i="7"/>
  <c r="F36" i="7"/>
  <c r="F39" i="7"/>
  <c r="F42" i="7"/>
  <c r="F45" i="7"/>
  <c r="F48" i="7"/>
  <c r="F51" i="7"/>
  <c r="F54" i="7"/>
  <c r="F57" i="7"/>
  <c r="F63" i="7"/>
  <c r="F18" i="7"/>
  <c r="F15" i="7"/>
  <c r="F9" i="7"/>
  <c r="B21" i="5" l="1"/>
  <c r="B22" i="5"/>
  <c r="B23" i="5"/>
  <c r="B24" i="5"/>
  <c r="B25" i="5"/>
  <c r="B26" i="5"/>
  <c r="B27" i="5"/>
  <c r="B28" i="5"/>
  <c r="B29" i="5"/>
  <c r="B30" i="5"/>
  <c r="B20" i="5"/>
</calcChain>
</file>

<file path=xl/sharedStrings.xml><?xml version="1.0" encoding="utf-8"?>
<sst xmlns="http://schemas.openxmlformats.org/spreadsheetml/2006/main" count="595" uniqueCount="175">
  <si>
    <t>هەناردەکردن و بەکاربردنی نەوت</t>
  </si>
  <si>
    <t xml:space="preserve">فرۆشتنی نەوتی خاوى هەناردەکراو بە بۆری </t>
  </si>
  <si>
    <t>*</t>
  </si>
  <si>
    <t>**</t>
  </si>
  <si>
    <t xml:space="preserve">ڕێرەوی دارایی </t>
  </si>
  <si>
    <t>چارەکی یەکەم (1-1-2018 بۆ 31-3-2018)</t>
  </si>
  <si>
    <t>چارەکی دووەم (1-4-2018 بۆ 30-6-2018)</t>
  </si>
  <si>
    <t>چارەکی سێیەم (1-7-2018 بۆ 30-9-2018)</t>
  </si>
  <si>
    <t xml:space="preserve">چارەکی چوارەم (1-10-2018 بۆ 31-12-2018) </t>
  </si>
  <si>
    <t>چارەکی یەکەم (1-1-2019 بۆ 31-3-2019)</t>
  </si>
  <si>
    <t>چارەکی دووەم (1-4-2019 بۆ 30-6-2019)</t>
  </si>
  <si>
    <t xml:space="preserve">چارەکی چوارەم (1-10-2018 بۆ 31-12-2019) </t>
  </si>
  <si>
    <t>چارەکی سێیەم (1-7-2019 بۆ 30-9-2019)</t>
  </si>
  <si>
    <t>چارەکی یەکەم (1-1-2020 بۆ 31-3-2020)</t>
  </si>
  <si>
    <t>چارەکی دووەم (1-4-2020 بۆ 30-6-2020)</t>
  </si>
  <si>
    <t>چارەکی سێیەم (1-7-2020 بۆ 30-9-2020)</t>
  </si>
  <si>
    <t xml:space="preserve">چارەکی چوارەم (1-10-2020 بۆ 31-12-2020) </t>
  </si>
  <si>
    <t>چارەکی یەکەم (1-1-2021 بۆ 31-3-2021)</t>
  </si>
  <si>
    <t>چارەکی سێیەم (1-7-2021 بۆ 30-9-2021)</t>
  </si>
  <si>
    <t xml:space="preserve">چارەکی چوارەم (1-10-2021 بۆ 31-12-2021) </t>
  </si>
  <si>
    <t>چارەکی یەکەم (1-1-2022 بۆ 31-3-2022)</t>
  </si>
  <si>
    <t>چارەکی دووەم (1-4-2022 بۆ 30-6-2022)</t>
  </si>
  <si>
    <t>چارەکی سێیەم (1-7-2022 بۆ 30-9-2022)</t>
  </si>
  <si>
    <t xml:space="preserve">چارەکی چوارەم (1-10-2022 بۆ 31-12-2022) </t>
  </si>
  <si>
    <t>)واتە سافى بڕەکە پاش گواستنەوەکانی تۆمارکراو لەسەر نەوتی خەزنكراو لە کۆگاکاندا و لبردنی ́˽́,̀˽˽,́˻ بەرمیل پێکهاتەی ئاو(</t>
  </si>
  <si>
    <t>شیكاری فرۆشتنی نەوتی خاوى گواستراوە بە تانكەر</t>
  </si>
  <si>
    <t>)واتە سافى بڕەکە پاش گواستنەوەکانی تۆمارکراو لەسەر نەوتی خەزنكراو لە کۆگاکاندا و لبردنی ̀̀˻,́˹˽ بەرمیل پێکهاتەی ئاو(</t>
  </si>
  <si>
    <t>***</t>
  </si>
  <si>
    <t>بۆ فرۆشی نەوتی خاوی هەناردەکراو بە تانکەر، تێچووی زیاتری هەناردە هەیە کە ڕاستەوخۆ لەلیەن كڕیارەوە دراوە و دواتر لەگەڵ نرخی فرۆشتندا هەژمارکراوە )بۆ نموونە تێچووی گواستنەوە و کۆگاکردن(.</t>
  </si>
  <si>
    <t>شیكاری فرۆشتنەكان بۆ پاڵوگەكانی نەوت و فرۆشتنەكانی ناوخۆ</t>
  </si>
  <si>
    <t>****</t>
  </si>
  <si>
    <t>سافی بڕەكە پاش لبردنی پێكهاتەی ئاو و ئەو بڕەیەی بە فیڕۆ دەچێت ̀˹˺,˿˹˿,˺ بەرمیل بە هۆی بەهەڵمبوون )لێچوون( لە كاتی گواستنەوەدا(</t>
  </si>
  <si>
    <t>نەوتی خاوى هەناردەکراو بە بۆری (بەرمیل)</t>
  </si>
  <si>
    <t>نەوتی خاوى هەناردەکراو بە تانکەر لە کێڵگەكانی هەرێمی کوردستانەوە،  (بەرمیل)</t>
  </si>
  <si>
    <t>ئاڵوگۆڕكردنی نەوتی خاو بەرامبەر دیزڵ و سووتەمەنی نەوتی قورس بۆ بەكارهێنان لە وێستگەكانی وزەی سەر بە حكومەتی هەرێمی كوردستان ˺ (بەرمیل)</t>
  </si>
  <si>
    <t>فرۆشتن بۆ پااڵوگەکان  (بەرمیل)</t>
  </si>
  <si>
    <t>فرۆشتنی ناوخۆ  (بەرمیل)</t>
  </si>
  <si>
    <t>کۆی هەناردەکردن و بەکاربردن  (بەرمیل)</t>
  </si>
  <si>
    <t>سافى نەوتی خاوى گواستراوە بۆ کڕیاران*  (بەرمیل)</t>
  </si>
  <si>
    <t xml:space="preserve">کۆی بەهای نەوتی خاوی فرۆشراو (دۆلار)
</t>
  </si>
  <si>
    <t>(13,731,436</t>
  </si>
  <si>
    <t>سافى داهاتی وەرگیراو لەلیەن حکومەتی هەرێمی کوردستان لە ماوەى فرۆشتنى نەوت و چالكییە پەیوەندیدارەكاندا (دۆلار)</t>
  </si>
  <si>
    <t>داهاتی سەربار لە ڕێككەوتنی مۆڵەتدانى تایبەت بە بۆری هەناردەکردن،  (دۆلار)</t>
  </si>
  <si>
    <t>خەرجییە گشتییەکانی دیكە جگە لەوانەی سەرەوە لەلیەن یان لە بری حکومەتی هەرێمی کوردستان،  (دۆلار)</t>
  </si>
  <si>
    <t>پارەدان بۆ شایستەی دارایی بەرهەمهێنەرانی نەوت  (دۆلار)</t>
  </si>
  <si>
    <t>سوود و ڕسووماتی دیكە پەیوەندیدار بە كڕیارەكانەوە،  (دۆلار)</t>
  </si>
  <si>
    <t>سافی جووڵە )الحركة النقدیة( لە ڕەسیدی حیساباتی كڕیارەكان )بەبێ پێدانی پارەی پێشەکی  (دۆلار)</t>
  </si>
  <si>
    <t>کۆی بەهای نەوتی خاو و كۆندێنسەیتی فرۆشراو )هەناردەکراو لەڕێی بۆری و فرۆشتنی ناوخۆ  (دۆلار)</t>
  </si>
  <si>
    <t>تێکڕای نرخی یەك بەرمیلی نەوتی فرۆشراو  (دۆلار/بەرمیل)</t>
  </si>
  <si>
    <t>كۆی بەهای نەوتی خاو و كۆندێنسەیتی فرۆشراو  (دۆلار)</t>
  </si>
  <si>
    <t>سافی نەوت )نەوتى خاو و كۆندێنسەیت(ی گواستراوە لەلیەن كڕیارانەوە**** (بەرمیل)</t>
  </si>
  <si>
    <t>ێکڕای نرخی یەك بەرمیل نەوتی فرۆشراو***  (دۆلار/بەرمیل)</t>
  </si>
  <si>
    <t xml:space="preserve">سافى نەوتی خاوى گواستراوە بۆ کڕیاران** (بەرمیل) </t>
  </si>
  <si>
    <t>تێکڕای نرخی بەدەستهاتوو بۆ یەك بەرمیل نەوتی فرۆشراو،  (دۆلار/بەرمیل)</t>
  </si>
  <si>
    <t>سەرچاوە</t>
  </si>
  <si>
    <t>پارەدان لە بەرامبەر تاریفی کۆمپانیای وزەی توركی )TEC( )</t>
  </si>
  <si>
    <t>309,673,98</t>
  </si>
  <si>
    <t xml:space="preserve">دانەوەی قەرزی هەریەك لە كۆمپانیای وزەی توركی )TEC )و كۆمپانیای نەوتی نێودەوڵەتیی توركی )TPIC( </t>
  </si>
  <si>
    <t>https://gov.krd/english/information-and-services/open-data/deloitte-reports/deloitte-report-2018/</t>
  </si>
  <si>
    <t>https://gov.krd/information-and-services/open-data/deloitte-reports/deloitte-report-2018/</t>
  </si>
  <si>
    <t>پارەدانی پێشەکیی سەربار لەلیەن كڕیارانەوە لە بەرامبەر فرۆشتنەكانی نەوتی خاو لە داهاتوودا</t>
  </si>
  <si>
    <t>(253,928,037</t>
  </si>
  <si>
    <t>پارەدانی پێشەکی دوورخایەن</t>
  </si>
  <si>
    <t>(8,596,529</t>
  </si>
  <si>
    <t>بڕی پارەی دراو بۆ كۆمپانیای بۆریی كوردستان (KPC (بەگوێرەی ڕێككەوتنی ئیمتیازی هێڵی بۆرییەكان</t>
  </si>
  <si>
    <t>(112,973,551</t>
  </si>
  <si>
    <t>https://cdn.gov.krd/Government%20Open%20Data/Deloitte%20Reports/Deloitte%20Reports%202019/Kurdish/Consolidated%20RCOG%20Q2%202019%20Public%20Report%20KU.pdf</t>
  </si>
  <si>
    <t>https://cdn.gov.krd/Government%20Open%20Data/Deloitte%20Reports/Deloitte%20Reports%202019/English/Consolidated%20RCOG%20Q2%202019%20Public%20Report%20ENG.pdf</t>
  </si>
  <si>
    <t>کۆی بەهای نەوتی خاوی فرۆشراو (دۆلار)</t>
  </si>
  <si>
    <t>چارەکی دووەم (1-4-2021 بۆ 30-6-2021)</t>
  </si>
  <si>
    <t>https://gov.krd/information-and-services/open-data/deloitte-reports/deloitte-report-2020/</t>
  </si>
  <si>
    <t>https://gov.krd/english/information-and-services/open-data/deloitte-reports/deloitte-report-2020/</t>
  </si>
  <si>
    <t>(21,401,196</t>
  </si>
  <si>
    <t>11,149,522)</t>
  </si>
  <si>
    <t>پارەدانی پێشەکی دوورخایەن (ئیرۆ)</t>
  </si>
  <si>
    <t>https://gov.krd/information-and-services/open-data/deloitte-reports/deloitte-report-2021/</t>
  </si>
  <si>
    <t>https://gov.krd/english/information-and-services/open-data/deloitte-reports/deloitte-report-2021/</t>
  </si>
  <si>
    <t>36,453,59</t>
  </si>
  <si>
    <t>https://gov.krd/english/information-and-services/open-data/deloitte-reports/deloitte-report-2022/</t>
  </si>
  <si>
    <t>https://gov.krd/information-and-services/open-data/deloitte-reports/deloitte-report-2022/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</si>
  <si>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</si>
  <si>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</si>
  <si>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</si>
  <si>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</si>
  <si>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</si>
  <si>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</si>
  <si>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</si>
  <si>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</si>
  <si>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</si>
  <si>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</si>
  <si>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</si>
  <si>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</si>
  <si>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</si>
  <si>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</si>
  <si>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</si>
  <si>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</si>
  <si>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</si>
  <si>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</si>
  <si>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</si>
  <si>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</si>
  <si>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</si>
  <si>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</si>
  <si>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</si>
  <si>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</si>
  <si>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</si>
  <si>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</si>
  <si>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</si>
  <si>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</si>
  <si>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</si>
  <si>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</si>
  <si>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</si>
  <si>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</si>
  <si>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</si>
  <si>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</si>
  <si>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</si>
  <si>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</si>
  <si>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</si>
  <si>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</si>
  <si>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</si>
  <si>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</si>
  <si>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</si>
  <si>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</si>
  <si>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</si>
  <si>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</si>
  <si>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</si>
  <si>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</si>
  <si>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</si>
  <si>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</si>
  <si>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</si>
  <si>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</si>
  <si>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</si>
  <si>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</si>
  <si>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</si>
  <si>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</si>
  <si>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</si>
  <si>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</si>
  <si>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</si>
  <si>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2022M10</t>
  </si>
  <si>
    <t>2022M11</t>
  </si>
  <si>
    <t>2022M12</t>
  </si>
  <si>
    <t>Crude oil, Brent ($/bbl)</t>
  </si>
  <si>
    <t>Yea</t>
  </si>
  <si>
    <t>Average Quarterly Brent (Crude oil, Brent ($/bbl))</t>
  </si>
  <si>
    <t>ساڵ</t>
  </si>
  <si>
    <t xml:space="preserve">تێکڕای نرخی برێنت بۆ بەرمیلێک رۆژانە </t>
  </si>
  <si>
    <t>Row Labels</t>
  </si>
  <si>
    <t>Grand Total</t>
  </si>
  <si>
    <t xml:space="preserve"> تێکڕای نرخی برێنت بۆ بەرمیلێک رۆژانە </t>
  </si>
  <si>
    <t>چارەکی دووەم</t>
  </si>
  <si>
    <t>چارەکی یەکەم</t>
  </si>
  <si>
    <t>چارەکی سێیەم</t>
  </si>
  <si>
    <t>چارەکی چوارەم</t>
  </si>
  <si>
    <t>چارەکی ساڵ</t>
  </si>
  <si>
    <t xml:space="preserve">تێکڕای نرخی نەوتی هەرێمی کوردستان  بە بۆری بۆ بەرمیلێک رۆژانە </t>
  </si>
  <si>
    <t xml:space="preserve">تێکڕای نرخی نەوتی هەرێمی کوردستان بۆ ناوخۆ و پاڵاوگە / بەرمیلێک رۆژانە </t>
  </si>
  <si>
    <t>جیاوازی برینت و نەوتی فرۆشراو لەناوخۆی هەرێمی کوردستان</t>
  </si>
  <si>
    <t>چارەکی 1</t>
  </si>
  <si>
    <t>چارەکی 2</t>
  </si>
  <si>
    <t>چارەکی 3</t>
  </si>
  <si>
    <t>چارەکی 4</t>
  </si>
  <si>
    <t xml:space="preserve"> تێکڕای نرخی نەوتی هەرێمی کوردستان  بە بۆری بۆ بەرمیلێک رۆژانە </t>
  </si>
  <si>
    <t xml:space="preserve"> تێکڕای نرخی نەوتی هەرێمی کوردستان بۆ ناوخۆ و پاڵاوگە / بەرمیلێک رۆژانە </t>
  </si>
  <si>
    <t xml:space="preserve"> جیاوازی برینت و نەوتی فرۆشراو لەناوخۆی هەرێمی کوردستان</t>
  </si>
  <si>
    <t xml:space="preserve"> جیاوازی برینت و نەوتی فرۆشراوی هەرێمی کوردستان بە بۆری</t>
  </si>
  <si>
    <t>جیاوازی برینت و نەوتی فرۆشراوی هەرێمی کوردستان بە بۆری</t>
  </si>
  <si>
    <t xml:space="preserve">ساڵ </t>
  </si>
  <si>
    <t xml:space="preserve"> چارەکی یەکەم</t>
  </si>
  <si>
    <t xml:space="preserve"> چارەکی دووەم</t>
  </si>
  <si>
    <t xml:space="preserve"> چارەکی سێیەم</t>
  </si>
  <si>
    <t xml:space="preserve"> چارەکی چوارەم</t>
  </si>
  <si>
    <t xml:space="preserve">کۆی بەهای نەوت* </t>
  </si>
  <si>
    <t>سافى داهات**</t>
  </si>
  <si>
    <t>داهاتی نەوت</t>
  </si>
  <si>
    <t>کۆی گشتی</t>
  </si>
  <si>
    <t>رۆژانە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</si>
</sst>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3" fillId="6" borderId="0" applyNumberFormat="0" applyBorder="0" applyAlignment="0" applyProtection="0"/>
  </cellStyleXfs>
  <cellXfs count="1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3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0" borderId="13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2" fontId="0" fillId="0" borderId="0" xfId="0" applyNumberFormat="1"/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0" fillId="0" borderId="0" xfId="0" applyNumberForma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6" xfId="0" applyFont="1" applyBorder="1"/>
    <xf numFmtId="0" fontId="6" fillId="0" borderId="1" xfId="0" applyFont="1" applyBorder="1"/>
    <xf numFmtId="164" fontId="6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0" fontId="8" fillId="2" borderId="14" xfId="1" applyFont="1" applyBorder="1" applyAlignment="1">
      <alignment horizontal="center" vertical="center"/>
    </xf>
    <xf numFmtId="0" fontId="8" fillId="2" borderId="15" xfId="1" applyFont="1" applyBorder="1" applyAlignment="1">
      <alignment horizontal="center" vertical="center"/>
    </xf>
    <xf numFmtId="0" fontId="8" fillId="2" borderId="16" xfId="1" applyFont="1" applyBorder="1" applyAlignment="1">
      <alignment horizontal="center" vertical="center"/>
    </xf>
    <xf numFmtId="0" fontId="8" fillId="3" borderId="14" xfId="2" applyFont="1" applyBorder="1" applyAlignment="1">
      <alignment horizontal="center" vertical="center"/>
    </xf>
    <xf numFmtId="0" fontId="8" fillId="3" borderId="15" xfId="2" applyFont="1" applyBorder="1" applyAlignment="1">
      <alignment horizontal="center" vertical="center"/>
    </xf>
    <xf numFmtId="0" fontId="8" fillId="3" borderId="16" xfId="2" applyFont="1" applyBorder="1" applyAlignment="1">
      <alignment horizontal="center" vertical="center"/>
    </xf>
    <xf numFmtId="0" fontId="8" fillId="6" borderId="14" xfId="5" applyFont="1" applyBorder="1" applyAlignment="1">
      <alignment horizontal="center" vertical="center"/>
    </xf>
    <xf numFmtId="0" fontId="8" fillId="6" borderId="15" xfId="5" applyFont="1" applyBorder="1" applyAlignment="1">
      <alignment horizontal="center" vertical="center"/>
    </xf>
    <xf numFmtId="0" fontId="8" fillId="6" borderId="16" xfId="5" applyFont="1" applyBorder="1" applyAlignment="1">
      <alignment horizontal="center" vertical="center"/>
    </xf>
    <xf numFmtId="0" fontId="8" fillId="5" borderId="14" xfId="4" applyFont="1" applyBorder="1" applyAlignment="1">
      <alignment horizontal="center" vertical="center"/>
    </xf>
    <xf numFmtId="0" fontId="8" fillId="5" borderId="15" xfId="4" applyFont="1" applyBorder="1" applyAlignment="1">
      <alignment horizontal="center" vertical="center"/>
    </xf>
    <xf numFmtId="0" fontId="8" fillId="5" borderId="16" xfId="4" applyFont="1" applyBorder="1" applyAlignment="1">
      <alignment horizontal="center" vertical="center"/>
    </xf>
    <xf numFmtId="0" fontId="8" fillId="4" borderId="14" xfId="3" applyFont="1" applyBorder="1" applyAlignment="1">
      <alignment horizontal="center" vertical="center"/>
    </xf>
    <xf numFmtId="0" fontId="8" fillId="4" borderId="15" xfId="3" applyFont="1" applyBorder="1" applyAlignment="1">
      <alignment horizontal="center" vertical="center"/>
    </xf>
    <xf numFmtId="0" fontId="8" fillId="4" borderId="16" xfId="3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</cellXfs>
  <cellStyles count="6">
    <cellStyle name="20% - Accent2" xfId="3" builtinId="34"/>
    <cellStyle name="40% - Accent2" xfId="4" builtinId="35"/>
    <cellStyle name="60% - Accent2" xfId="5" builtinId="36"/>
    <cellStyle name="Accent2" xfId="2" builtinId="33"/>
    <cellStyle name="Bad" xfId="1" builtinId="27"/>
    <cellStyle name="Normal" xfId="0" builtinId="0"/>
  </cellStyles>
  <dxfs count="16"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pivotSource>
    <c:name>[KRG MNR (2018-2022).xlsx]G Differe KRI &amp; Brent!PivotTable3</c:name>
    <c:fmtId val="5"/>
  </c:pivotSource>
  <c:chart>
    <c:autoTitleDeleted val="1"/>
    <c:pivotFmts>
      <c:pivotFmt>
        <c:idx val="0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dLbl>
          <c:idx val="0"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"/>
        <c:marker>
          <c:symbol val="none"/>
        </c:marker>
        <c:dLbl>
          <c:idx val="0"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"/>
      </c:pivotFmt>
      <c:pivotFmt>
        <c:idx val="9"/>
      </c:pivotFmt>
    </c:pivotFmts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'G Differe KRI &amp; Brent'!$B$3</c:f>
              <c:strCache>
                <c:ptCount val="1"/>
                <c:pt idx="0">
                  <c:v> جیاوازی برینت و نەوتی فرۆشراوی هەرێمی کوردستان بە بۆری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Differe KRI &amp; Brent'!$A$4:$A$29</c:f>
              <c:multiLvlStrCache>
                <c:ptCount val="20"/>
                <c:lvl>
                  <c:pt idx="0">
                    <c:v>چارەکی 1</c:v>
                  </c:pt>
                  <c:pt idx="1">
                    <c:v>چارەکی 2</c:v>
                  </c:pt>
                  <c:pt idx="2">
                    <c:v>چارەکی 3</c:v>
                  </c:pt>
                  <c:pt idx="3">
                    <c:v>چارەکی 4</c:v>
                  </c:pt>
                  <c:pt idx="4">
                    <c:v>چارەکی 1</c:v>
                  </c:pt>
                  <c:pt idx="5">
                    <c:v>چارەکی 2</c:v>
                  </c:pt>
                  <c:pt idx="6">
                    <c:v>چارەکی 3</c:v>
                  </c:pt>
                  <c:pt idx="7">
                    <c:v>چارەکی 4</c:v>
                  </c:pt>
                  <c:pt idx="8">
                    <c:v>چارەکی 1</c:v>
                  </c:pt>
                  <c:pt idx="9">
                    <c:v>چارەکی 2</c:v>
                  </c:pt>
                  <c:pt idx="10">
                    <c:v>چارەکی 3</c:v>
                  </c:pt>
                  <c:pt idx="11">
                    <c:v>چارەکی 4</c:v>
                  </c:pt>
                  <c:pt idx="12">
                    <c:v>چارەکی 1</c:v>
                  </c:pt>
                  <c:pt idx="13">
                    <c:v>چارەکی 2</c:v>
                  </c:pt>
                  <c:pt idx="14">
                    <c:v>چارەکی 3</c:v>
                  </c:pt>
                  <c:pt idx="15">
                    <c:v>چارەکی 4</c:v>
                  </c:pt>
                  <c:pt idx="16">
                    <c:v>چارەکی 1</c:v>
                  </c:pt>
                  <c:pt idx="17">
                    <c:v>چارەکی 2</c:v>
                  </c:pt>
                  <c:pt idx="18">
                    <c:v>چارەکی 3</c:v>
                  </c:pt>
                  <c:pt idx="19">
                    <c:v>چارەکی 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 Differe KRI &amp; Brent'!$B$4:$B$29</c:f>
              <c:numCache>
                <c:formatCode>0.00</c:formatCode>
                <c:ptCount val="20"/>
                <c:pt idx="0">
                  <c:v>12.136333333333333</c:v>
                </c:pt>
                <c:pt idx="1">
                  <c:v>11.635999999999996</c:v>
                </c:pt>
                <c:pt idx="2">
                  <c:v>12.378666666666675</c:v>
                </c:pt>
                <c:pt idx="3">
                  <c:v>4.2686666666666611</c:v>
                </c:pt>
                <c:pt idx="4">
                  <c:v>11.463000000000001</c:v>
                </c:pt>
                <c:pt idx="5">
                  <c:v>11.15633333333335</c:v>
                </c:pt>
                <c:pt idx="6">
                  <c:v>12.449999999999996</c:v>
                </c:pt>
                <c:pt idx="7">
                  <c:v>10.36033333333333</c:v>
                </c:pt>
                <c:pt idx="8">
                  <c:v>18.930666666666664</c:v>
                </c:pt>
                <c:pt idx="9">
                  <c:v>15.648999999999996</c:v>
                </c:pt>
                <c:pt idx="10">
                  <c:v>11.050999999999998</c:v>
                </c:pt>
                <c:pt idx="11">
                  <c:v>12.013333333333335</c:v>
                </c:pt>
                <c:pt idx="12">
                  <c:v>11.605666666666664</c:v>
                </c:pt>
                <c:pt idx="13">
                  <c:v>10.920666666666662</c:v>
                </c:pt>
                <c:pt idx="14">
                  <c:v>10.135333333333328</c:v>
                </c:pt>
                <c:pt idx="15">
                  <c:v>11.146666666666661</c:v>
                </c:pt>
                <c:pt idx="16">
                  <c:v>12.22999999999999</c:v>
                </c:pt>
                <c:pt idx="17">
                  <c:v>12.355333333333334</c:v>
                </c:pt>
              </c:numCache>
            </c:numRef>
          </c:val>
        </c:ser>
        <c:ser>
          <c:idx val="1"/>
          <c:order val="1"/>
          <c:tx>
            <c:strRef>
              <c:f>'G Differe KRI &amp; Brent'!$C$3</c:f>
              <c:strCache>
                <c:ptCount val="1"/>
                <c:pt idx="0">
                  <c:v> جیاوازی برینت و نەوتی فرۆشراو لەناوخۆی هەرێمی کوردستان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Differe KRI &amp; Brent'!$A$4:$A$29</c:f>
              <c:multiLvlStrCache>
                <c:ptCount val="20"/>
                <c:lvl>
                  <c:pt idx="0">
                    <c:v>چارەکی 1</c:v>
                  </c:pt>
                  <c:pt idx="1">
                    <c:v>چارەکی 2</c:v>
                  </c:pt>
                  <c:pt idx="2">
                    <c:v>چارەکی 3</c:v>
                  </c:pt>
                  <c:pt idx="3">
                    <c:v>چارەکی 4</c:v>
                  </c:pt>
                  <c:pt idx="4">
                    <c:v>چارەکی 1</c:v>
                  </c:pt>
                  <c:pt idx="5">
                    <c:v>چارەکی 2</c:v>
                  </c:pt>
                  <c:pt idx="6">
                    <c:v>چارەکی 3</c:v>
                  </c:pt>
                  <c:pt idx="7">
                    <c:v>چارەکی 4</c:v>
                  </c:pt>
                  <c:pt idx="8">
                    <c:v>چارەکی 1</c:v>
                  </c:pt>
                  <c:pt idx="9">
                    <c:v>چارەکی 2</c:v>
                  </c:pt>
                  <c:pt idx="10">
                    <c:v>چارەکی 3</c:v>
                  </c:pt>
                  <c:pt idx="11">
                    <c:v>چارەکی 4</c:v>
                  </c:pt>
                  <c:pt idx="12">
                    <c:v>چارەکی 1</c:v>
                  </c:pt>
                  <c:pt idx="13">
                    <c:v>چارەکی 2</c:v>
                  </c:pt>
                  <c:pt idx="14">
                    <c:v>چارەکی 3</c:v>
                  </c:pt>
                  <c:pt idx="15">
                    <c:v>چارەکی 4</c:v>
                  </c:pt>
                  <c:pt idx="16">
                    <c:v>چارەکی 1</c:v>
                  </c:pt>
                  <c:pt idx="17">
                    <c:v>چارەکی 2</c:v>
                  </c:pt>
                  <c:pt idx="18">
                    <c:v>چارەکی 3</c:v>
                  </c:pt>
                  <c:pt idx="19">
                    <c:v>چارەکی 4</c:v>
                  </c:pt>
                </c:lvl>
                <c:lvl>
                  <c:pt idx="0">
                    <c:v>2018</c:v>
                  </c:pt>
                  <c:pt idx="4">
                    <c:v>2019</c:v>
                  </c:pt>
                  <c:pt idx="8">
                    <c:v>2020</c:v>
                  </c:pt>
                  <c:pt idx="12">
                    <c:v>2021</c:v>
                  </c:pt>
                  <c:pt idx="16">
                    <c:v>2022</c:v>
                  </c:pt>
                </c:lvl>
              </c:multiLvlStrCache>
            </c:multiLvlStrRef>
          </c:cat>
          <c:val>
            <c:numRef>
              <c:f>'G Differe KRI &amp; Brent'!$C$4:$C$29</c:f>
              <c:numCache>
                <c:formatCode>0.00</c:formatCode>
                <c:ptCount val="20"/>
                <c:pt idx="0">
                  <c:v>14.541333333333334</c:v>
                </c:pt>
                <c:pt idx="1">
                  <c:v>18.194999999999993</c:v>
                </c:pt>
                <c:pt idx="2">
                  <c:v>7.742666666666679</c:v>
                </c:pt>
                <c:pt idx="3">
                  <c:v>22.891666666666659</c:v>
                </c:pt>
                <c:pt idx="4">
                  <c:v>17.347000000000001</c:v>
                </c:pt>
                <c:pt idx="5">
                  <c:v>20.504333333333349</c:v>
                </c:pt>
                <c:pt idx="6">
                  <c:v>17.521999999999991</c:v>
                </c:pt>
                <c:pt idx="7">
                  <c:v>17.391333333333328</c:v>
                </c:pt>
                <c:pt idx="8">
                  <c:v>-0.62433333333333962</c:v>
                </c:pt>
                <c:pt idx="12">
                  <c:v>1.0926666666666662</c:v>
                </c:pt>
                <c:pt idx="13">
                  <c:v>4.4276666666666671</c:v>
                </c:pt>
                <c:pt idx="14">
                  <c:v>23.158333333333331</c:v>
                </c:pt>
                <c:pt idx="15">
                  <c:v>23.835666666666668</c:v>
                </c:pt>
                <c:pt idx="16">
                  <c:v>14.72999999999999</c:v>
                </c:pt>
                <c:pt idx="17">
                  <c:v>58.657333333333341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0827264"/>
        <c:axId val="50828800"/>
      </c:barChart>
      <c:catAx>
        <c:axId val="50827264"/>
        <c:scaling>
          <c:orientation val="minMax"/>
        </c:scaling>
        <c:delete val="0"/>
        <c:axPos val="l"/>
        <c:majorTickMark val="none"/>
        <c:minorTickMark val="none"/>
        <c:tickLblPos val="nextTo"/>
        <c:crossAx val="50828800"/>
        <c:crosses val="autoZero"/>
        <c:auto val="1"/>
        <c:lblAlgn val="ctr"/>
        <c:lblOffset val="100"/>
        <c:noMultiLvlLbl val="0"/>
      </c:catAx>
      <c:valAx>
        <c:axId val="5082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دۆلار</a:t>
                </a:r>
                <a:r>
                  <a:rPr lang="ar-IQ" baseline="0"/>
                  <a:t> 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082726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pivotSource>
    <c:name>[KRG MNR (2018-2022).xlsx]G brent &amp; KRI Price!PivotTable3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layout/>
          <c:dLblPos val="inEnd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 brent &amp; KRI Price'!$B$3</c:f>
              <c:strCache>
                <c:ptCount val="1"/>
                <c:pt idx="0">
                  <c:v> تێکڕای نرخی برێنت بۆ بەرمیلێک رۆژانە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brent &amp; KRI Price'!$A$4:$A$28</c:f>
              <c:multiLvlStrCache>
                <c:ptCount val="20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</c:lvl>
                <c:lvl>
                  <c:pt idx="0">
                    <c:v>چارەکی 1</c:v>
                  </c:pt>
                  <c:pt idx="5">
                    <c:v>چارەکی 2</c:v>
                  </c:pt>
                  <c:pt idx="10">
                    <c:v>چارەکی 3</c:v>
                  </c:pt>
                  <c:pt idx="15">
                    <c:v>چارەکی 4</c:v>
                  </c:pt>
                </c:lvl>
              </c:multiLvlStrCache>
            </c:multiLvlStrRef>
          </c:cat>
          <c:val>
            <c:numRef>
              <c:f>'G brent &amp; KRI Price'!$B$4:$B$28</c:f>
              <c:numCache>
                <c:formatCode>0.00</c:formatCode>
                <c:ptCount val="20"/>
                <c:pt idx="0">
                  <c:v>66.953333333333333</c:v>
                </c:pt>
                <c:pt idx="1">
                  <c:v>63.27</c:v>
                </c:pt>
                <c:pt idx="2">
                  <c:v>50.526666666666664</c:v>
                </c:pt>
                <c:pt idx="3">
                  <c:v>60.566666666666663</c:v>
                </c:pt>
                <c:pt idx="4">
                  <c:v>98.96</c:v>
                </c:pt>
                <c:pt idx="5">
                  <c:v>74.489999999999995</c:v>
                </c:pt>
                <c:pt idx="6">
                  <c:v>68.343333333333348</c:v>
                </c:pt>
                <c:pt idx="7">
                  <c:v>31.429999999999996</c:v>
                </c:pt>
                <c:pt idx="8">
                  <c:v>68.626666666666665</c:v>
                </c:pt>
                <c:pt idx="9">
                  <c:v>112.74333333333334</c:v>
                </c:pt>
                <c:pt idx="10">
                  <c:v>75.476666666666674</c:v>
                </c:pt>
                <c:pt idx="11">
                  <c:v>61.859999999999992</c:v>
                </c:pt>
                <c:pt idx="12">
                  <c:v>42.72</c:v>
                </c:pt>
                <c:pt idx="13">
                  <c:v>73.00333333333333</c:v>
                </c:pt>
                <c:pt idx="14">
                  <c:v>99.226666666666645</c:v>
                </c:pt>
                <c:pt idx="15">
                  <c:v>67.36666666666666</c:v>
                </c:pt>
                <c:pt idx="16">
                  <c:v>62.653333333333329</c:v>
                </c:pt>
                <c:pt idx="17">
                  <c:v>44.523333333333333</c:v>
                </c:pt>
                <c:pt idx="18">
                  <c:v>79.576666666666668</c:v>
                </c:pt>
                <c:pt idx="19">
                  <c:v>88.366666666666674</c:v>
                </c:pt>
              </c:numCache>
            </c:numRef>
          </c:val>
        </c:ser>
        <c:ser>
          <c:idx val="1"/>
          <c:order val="1"/>
          <c:tx>
            <c:strRef>
              <c:f>'G brent &amp; KRI Price'!$C$3</c:f>
              <c:strCache>
                <c:ptCount val="1"/>
                <c:pt idx="0">
                  <c:v> تێکڕای نرخی نەوتی هەرێمی کوردستان  بە بۆری بۆ بەرمیلێک رۆژانە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brent &amp; KRI Price'!$A$4:$A$28</c:f>
              <c:multiLvlStrCache>
                <c:ptCount val="20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</c:lvl>
                <c:lvl>
                  <c:pt idx="0">
                    <c:v>چارەکی 1</c:v>
                  </c:pt>
                  <c:pt idx="5">
                    <c:v>چارەکی 2</c:v>
                  </c:pt>
                  <c:pt idx="10">
                    <c:v>چارەکی 3</c:v>
                  </c:pt>
                  <c:pt idx="15">
                    <c:v>چارەکی 4</c:v>
                  </c:pt>
                </c:lvl>
              </c:multiLvlStrCache>
            </c:multiLvlStrRef>
          </c:cat>
          <c:val>
            <c:numRef>
              <c:f>'G brent &amp; KRI Price'!$C$4:$C$28</c:f>
              <c:numCache>
                <c:formatCode>0.00</c:formatCode>
                <c:ptCount val="20"/>
                <c:pt idx="0">
                  <c:v>54.817</c:v>
                </c:pt>
                <c:pt idx="1">
                  <c:v>51.807000000000002</c:v>
                </c:pt>
                <c:pt idx="2">
                  <c:v>31.596</c:v>
                </c:pt>
                <c:pt idx="3">
                  <c:v>48.960999999999999</c:v>
                </c:pt>
                <c:pt idx="4">
                  <c:v>86.73</c:v>
                </c:pt>
                <c:pt idx="5">
                  <c:v>62.853999999999999</c:v>
                </c:pt>
                <c:pt idx="6">
                  <c:v>57.186999999999998</c:v>
                </c:pt>
                <c:pt idx="7">
                  <c:v>15.781000000000001</c:v>
                </c:pt>
                <c:pt idx="8">
                  <c:v>57.706000000000003</c:v>
                </c:pt>
                <c:pt idx="9">
                  <c:v>100.38800000000001</c:v>
                </c:pt>
                <c:pt idx="10">
                  <c:v>63.097999999999999</c:v>
                </c:pt>
                <c:pt idx="11">
                  <c:v>49.41</c:v>
                </c:pt>
                <c:pt idx="12">
                  <c:v>31.669</c:v>
                </c:pt>
                <c:pt idx="13">
                  <c:v>62.868000000000002</c:v>
                </c:pt>
                <c:pt idx="15">
                  <c:v>63.097999999999999</c:v>
                </c:pt>
                <c:pt idx="16">
                  <c:v>52.292999999999999</c:v>
                </c:pt>
                <c:pt idx="17">
                  <c:v>32.51</c:v>
                </c:pt>
                <c:pt idx="18">
                  <c:v>68.430000000000007</c:v>
                </c:pt>
              </c:numCache>
            </c:numRef>
          </c:val>
        </c:ser>
        <c:ser>
          <c:idx val="2"/>
          <c:order val="2"/>
          <c:tx>
            <c:strRef>
              <c:f>'G brent &amp; KRI Price'!$D$3</c:f>
              <c:strCache>
                <c:ptCount val="1"/>
                <c:pt idx="0">
                  <c:v> تێکڕای نرخی نەوتی هەرێمی کوردستان بۆ ناوخۆ و پاڵاوگە / بەرمیلێک رۆژانە 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brent &amp; KRI Price'!$A$4:$A$28</c:f>
              <c:multiLvlStrCache>
                <c:ptCount val="20"/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  <c:pt idx="5">
                    <c:v>2018</c:v>
                  </c:pt>
                  <c:pt idx="6">
                    <c:v>2019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2022</c:v>
                  </c:pt>
                  <c:pt idx="10">
                    <c:v>2018</c:v>
                  </c:pt>
                  <c:pt idx="11">
                    <c:v>2019</c:v>
                  </c:pt>
                  <c:pt idx="12">
                    <c:v>2020</c:v>
                  </c:pt>
                  <c:pt idx="13">
                    <c:v>2021</c:v>
                  </c:pt>
                  <c:pt idx="14">
                    <c:v>2022</c:v>
                  </c:pt>
                  <c:pt idx="15">
                    <c:v>2018</c:v>
                  </c:pt>
                  <c:pt idx="16">
                    <c:v>2019</c:v>
                  </c:pt>
                  <c:pt idx="17">
                    <c:v>2020</c:v>
                  </c:pt>
                  <c:pt idx="18">
                    <c:v>2021</c:v>
                  </c:pt>
                  <c:pt idx="19">
                    <c:v>2022</c:v>
                  </c:pt>
                </c:lvl>
                <c:lvl>
                  <c:pt idx="0">
                    <c:v>چارەکی 1</c:v>
                  </c:pt>
                  <c:pt idx="5">
                    <c:v>چارەکی 2</c:v>
                  </c:pt>
                  <c:pt idx="10">
                    <c:v>چارەکی 3</c:v>
                  </c:pt>
                  <c:pt idx="15">
                    <c:v>چارەکی 4</c:v>
                  </c:pt>
                </c:lvl>
              </c:multiLvlStrCache>
            </c:multiLvlStrRef>
          </c:cat>
          <c:val>
            <c:numRef>
              <c:f>'G brent &amp; KRI Price'!$D$4:$D$28</c:f>
              <c:numCache>
                <c:formatCode>0.00</c:formatCode>
                <c:ptCount val="20"/>
                <c:pt idx="0">
                  <c:v>52.411999999999999</c:v>
                </c:pt>
                <c:pt idx="1">
                  <c:v>45.923000000000002</c:v>
                </c:pt>
                <c:pt idx="2">
                  <c:v>51.151000000000003</c:v>
                </c:pt>
                <c:pt idx="3">
                  <c:v>59.473999999999997</c:v>
                </c:pt>
                <c:pt idx="4">
                  <c:v>84.23</c:v>
                </c:pt>
                <c:pt idx="5">
                  <c:v>56.295000000000002</c:v>
                </c:pt>
                <c:pt idx="6">
                  <c:v>47.838999999999999</c:v>
                </c:pt>
                <c:pt idx="8">
                  <c:v>64.198999999999998</c:v>
                </c:pt>
                <c:pt idx="9">
                  <c:v>54.085999999999999</c:v>
                </c:pt>
                <c:pt idx="10">
                  <c:v>67.733999999999995</c:v>
                </c:pt>
                <c:pt idx="11">
                  <c:v>44.338000000000001</c:v>
                </c:pt>
                <c:pt idx="13">
                  <c:v>49.844999999999999</c:v>
                </c:pt>
                <c:pt idx="15">
                  <c:v>44.475000000000001</c:v>
                </c:pt>
                <c:pt idx="16">
                  <c:v>45.262</c:v>
                </c:pt>
                <c:pt idx="18">
                  <c:v>55.741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664192"/>
        <c:axId val="50665728"/>
      </c:barChart>
      <c:catAx>
        <c:axId val="50664192"/>
        <c:scaling>
          <c:orientation val="minMax"/>
        </c:scaling>
        <c:delete val="0"/>
        <c:axPos val="l"/>
        <c:majorTickMark val="out"/>
        <c:minorTickMark val="none"/>
        <c:tickLblPos val="nextTo"/>
        <c:crossAx val="50665728"/>
        <c:crosses val="autoZero"/>
        <c:auto val="1"/>
        <c:lblAlgn val="ctr"/>
        <c:lblOffset val="100"/>
        <c:noMultiLvlLbl val="0"/>
      </c:catAx>
      <c:valAx>
        <c:axId val="5066572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دۆلار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06641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258033897912706E-2"/>
          <c:y val="0.87987009356912405"/>
          <c:w val="0.95012021209327302"/>
          <c:h val="0.10246091894700968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+mn-lt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pivotSource>
    <c:name>[KRG MNR (2018-2022).xlsx]G Revenue!PivotTable8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layout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layout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layout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>
        <c:manualLayout>
          <c:layoutTarget val="inner"/>
          <c:xMode val="edge"/>
          <c:yMode val="edge"/>
          <c:x val="0.33832837314553077"/>
          <c:y val="5.9177169390522089E-2"/>
          <c:w val="0.61116086778057133"/>
          <c:h val="0.76824152520562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 Revenue'!$B$3</c:f>
              <c:strCache>
                <c:ptCount val="1"/>
                <c:pt idx="0">
                  <c:v> چارەکی یەکەم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Revenue'!$A$4:$A$19</c:f>
              <c:multiLvlStrCache>
                <c:ptCount val="10"/>
                <c:lvl>
                  <c:pt idx="0">
                    <c:v>سافى داهات**</c:v>
                  </c:pt>
                  <c:pt idx="1">
                    <c:v>کۆی بەهای نەوت* </c:v>
                  </c:pt>
                  <c:pt idx="2">
                    <c:v>سافى داهات**</c:v>
                  </c:pt>
                  <c:pt idx="3">
                    <c:v>کۆی بەهای نەوت* </c:v>
                  </c:pt>
                  <c:pt idx="4">
                    <c:v>سافى داهات**</c:v>
                  </c:pt>
                  <c:pt idx="5">
                    <c:v>کۆی بەهای نەوت* </c:v>
                  </c:pt>
                  <c:pt idx="6">
                    <c:v>سافى داهات**</c:v>
                  </c:pt>
                  <c:pt idx="7">
                    <c:v>کۆی بەهای نەوت* </c:v>
                  </c:pt>
                  <c:pt idx="8">
                    <c:v>سافى داهات**</c:v>
                  </c:pt>
                  <c:pt idx="9">
                    <c:v>کۆی بەهای نەوت* 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Revenue'!$B$4:$B$19</c:f>
              <c:numCache>
                <c:formatCode>0.00</c:formatCode>
                <c:ptCount val="10"/>
                <c:pt idx="0">
                  <c:v>648.58944299999996</c:v>
                </c:pt>
                <c:pt idx="1">
                  <c:v>1663.708781</c:v>
                </c:pt>
                <c:pt idx="2">
                  <c:v>1639.7574440000001</c:v>
                </c:pt>
                <c:pt idx="3">
                  <c:v>2032.863797</c:v>
                </c:pt>
                <c:pt idx="4">
                  <c:v>960.98967300000004</c:v>
                </c:pt>
                <c:pt idx="5">
                  <c:v>1342.260646</c:v>
                </c:pt>
                <c:pt idx="6">
                  <c:v>842.75066800000002</c:v>
                </c:pt>
                <c:pt idx="7">
                  <c:v>1840.7135270000001</c:v>
                </c:pt>
                <c:pt idx="8">
                  <c:v>1343.841232</c:v>
                </c:pt>
                <c:pt idx="9">
                  <c:v>3063.3568909999999</c:v>
                </c:pt>
              </c:numCache>
            </c:numRef>
          </c:val>
        </c:ser>
        <c:ser>
          <c:idx val="1"/>
          <c:order val="1"/>
          <c:tx>
            <c:strRef>
              <c:f>'G Revenue'!$C$3</c:f>
              <c:strCache>
                <c:ptCount val="1"/>
                <c:pt idx="0">
                  <c:v> چارەکی دووەم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Revenue'!$A$4:$A$19</c:f>
              <c:multiLvlStrCache>
                <c:ptCount val="10"/>
                <c:lvl>
                  <c:pt idx="0">
                    <c:v>سافى داهات**</c:v>
                  </c:pt>
                  <c:pt idx="1">
                    <c:v>کۆی بەهای نەوت* </c:v>
                  </c:pt>
                  <c:pt idx="2">
                    <c:v>سافى داهات**</c:v>
                  </c:pt>
                  <c:pt idx="3">
                    <c:v>کۆی بەهای نەوت* </c:v>
                  </c:pt>
                  <c:pt idx="4">
                    <c:v>سافى داهات**</c:v>
                  </c:pt>
                  <c:pt idx="5">
                    <c:v>کۆی بەهای نەوت* </c:v>
                  </c:pt>
                  <c:pt idx="6">
                    <c:v>سافى داهات**</c:v>
                  </c:pt>
                  <c:pt idx="7">
                    <c:v>کۆی بەهای نەوت* </c:v>
                  </c:pt>
                  <c:pt idx="8">
                    <c:v>سافى داهات**</c:v>
                  </c:pt>
                  <c:pt idx="9">
                    <c:v>کۆی بەهای نەوت* 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Revenue'!$C$4:$C$19</c:f>
              <c:numCache>
                <c:formatCode>0.00</c:formatCode>
                <c:ptCount val="10"/>
                <c:pt idx="0">
                  <c:v>1309.8999060000001</c:v>
                </c:pt>
                <c:pt idx="1">
                  <c:v>1838.8185550000001</c:v>
                </c:pt>
                <c:pt idx="2">
                  <c:v>1108.364145</c:v>
                </c:pt>
                <c:pt idx="3">
                  <c:v>2295.6269830000001</c:v>
                </c:pt>
                <c:pt idx="4">
                  <c:v>317.30449099999998</c:v>
                </c:pt>
                <c:pt idx="5">
                  <c:v>590.34950400000002</c:v>
                </c:pt>
                <c:pt idx="6">
                  <c:v>894.43040599999995</c:v>
                </c:pt>
                <c:pt idx="7">
                  <c:v>2286.368434</c:v>
                </c:pt>
                <c:pt idx="8">
                  <c:v>1571.985275</c:v>
                </c:pt>
                <c:pt idx="9">
                  <c:v>3789.2902789999998</c:v>
                </c:pt>
              </c:numCache>
            </c:numRef>
          </c:val>
        </c:ser>
        <c:ser>
          <c:idx val="2"/>
          <c:order val="2"/>
          <c:tx>
            <c:strRef>
              <c:f>'G Revenue'!$D$3</c:f>
              <c:strCache>
                <c:ptCount val="1"/>
                <c:pt idx="0">
                  <c:v> چارەکی سێیەم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Revenue'!$A$4:$A$19</c:f>
              <c:multiLvlStrCache>
                <c:ptCount val="10"/>
                <c:lvl>
                  <c:pt idx="0">
                    <c:v>سافى داهات**</c:v>
                  </c:pt>
                  <c:pt idx="1">
                    <c:v>کۆی بەهای نەوت* </c:v>
                  </c:pt>
                  <c:pt idx="2">
                    <c:v>سافى داهات**</c:v>
                  </c:pt>
                  <c:pt idx="3">
                    <c:v>کۆی بەهای نەوت* </c:v>
                  </c:pt>
                  <c:pt idx="4">
                    <c:v>سافى داهات**</c:v>
                  </c:pt>
                  <c:pt idx="5">
                    <c:v>کۆی بەهای نەوت* </c:v>
                  </c:pt>
                  <c:pt idx="6">
                    <c:v>سافى داهات**</c:v>
                  </c:pt>
                  <c:pt idx="7">
                    <c:v>کۆی بەهای نەوت* </c:v>
                  </c:pt>
                  <c:pt idx="8">
                    <c:v>سافى داهات**</c:v>
                  </c:pt>
                  <c:pt idx="9">
                    <c:v>کۆی بەهای نەوت* 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Revenue'!$D$4:$D$19</c:f>
              <c:numCache>
                <c:formatCode>0.00</c:formatCode>
                <c:ptCount val="10"/>
                <c:pt idx="0">
                  <c:v>1288.7733740000001</c:v>
                </c:pt>
                <c:pt idx="1">
                  <c:v>2262.4097839999999</c:v>
                </c:pt>
                <c:pt idx="2">
                  <c:v>1066.671681</c:v>
                </c:pt>
                <c:pt idx="3">
                  <c:v>1990.417608</c:v>
                </c:pt>
                <c:pt idx="4">
                  <c:v>553.48779999999999</c:v>
                </c:pt>
                <c:pt idx="5">
                  <c:v>1243.5265710000001</c:v>
                </c:pt>
                <c:pt idx="6">
                  <c:v>1133.267918</c:v>
                </c:pt>
                <c:pt idx="7">
                  <c:v>2429.7620729999999</c:v>
                </c:pt>
              </c:numCache>
            </c:numRef>
          </c:val>
        </c:ser>
        <c:ser>
          <c:idx val="3"/>
          <c:order val="3"/>
          <c:tx>
            <c:strRef>
              <c:f>'G Revenue'!$E$3</c:f>
              <c:strCache>
                <c:ptCount val="1"/>
                <c:pt idx="0">
                  <c:v> چارەکی چوارەم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Revenue'!$A$4:$A$19</c:f>
              <c:multiLvlStrCache>
                <c:ptCount val="10"/>
                <c:lvl>
                  <c:pt idx="0">
                    <c:v>سافى داهات**</c:v>
                  </c:pt>
                  <c:pt idx="1">
                    <c:v>کۆی بەهای نەوت* </c:v>
                  </c:pt>
                  <c:pt idx="2">
                    <c:v>سافى داهات**</c:v>
                  </c:pt>
                  <c:pt idx="3">
                    <c:v>کۆی بەهای نەوت* </c:v>
                  </c:pt>
                  <c:pt idx="4">
                    <c:v>سافى داهات**</c:v>
                  </c:pt>
                  <c:pt idx="5">
                    <c:v>کۆی بەهای نەوت* </c:v>
                  </c:pt>
                  <c:pt idx="6">
                    <c:v>سافى داهات**</c:v>
                  </c:pt>
                  <c:pt idx="7">
                    <c:v>کۆی بەهای نەوت* </c:v>
                  </c:pt>
                  <c:pt idx="8">
                    <c:v>سافى داهات**</c:v>
                  </c:pt>
                  <c:pt idx="9">
                    <c:v>کۆی بەهای نەوت* </c:v>
                  </c:pt>
                </c:lvl>
                <c:lvl>
                  <c:pt idx="0">
                    <c:v>2018</c:v>
                  </c:pt>
                  <c:pt idx="2">
                    <c:v>2019</c:v>
                  </c:pt>
                  <c:pt idx="4">
                    <c:v>2020</c:v>
                  </c:pt>
                  <c:pt idx="6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'G Revenue'!$E$4:$E$19</c:f>
              <c:numCache>
                <c:formatCode>0.00</c:formatCode>
                <c:ptCount val="10"/>
                <c:pt idx="0">
                  <c:v>1096.478527</c:v>
                </c:pt>
                <c:pt idx="1">
                  <c:v>2149.8097550000002</c:v>
                </c:pt>
                <c:pt idx="2">
                  <c:v>700.62835500000006</c:v>
                </c:pt>
                <c:pt idx="3">
                  <c:v>2119.692912</c:v>
                </c:pt>
                <c:pt idx="4">
                  <c:v>513.69574799999998</c:v>
                </c:pt>
                <c:pt idx="5">
                  <c:v>1272.698547</c:v>
                </c:pt>
                <c:pt idx="6">
                  <c:v>1094.3655100000001</c:v>
                </c:pt>
                <c:pt idx="7">
                  <c:v>2569.1430220000002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153536"/>
        <c:axId val="51171712"/>
      </c:barChart>
      <c:catAx>
        <c:axId val="51153536"/>
        <c:scaling>
          <c:orientation val="minMax"/>
        </c:scaling>
        <c:delete val="0"/>
        <c:axPos val="l"/>
        <c:majorTickMark val="out"/>
        <c:minorTickMark val="none"/>
        <c:tickLblPos val="nextTo"/>
        <c:crossAx val="51171712"/>
        <c:crosses val="autoZero"/>
        <c:auto val="1"/>
        <c:lblAlgn val="ctr"/>
        <c:lblOffset val="100"/>
        <c:noMultiLvlLbl val="0"/>
      </c:catAx>
      <c:valAx>
        <c:axId val="51171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ملیۆن/دۆلار 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11535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[KRG MNR (2018-2022).xlsx]G All Oil Export Ex &amp;In!PivotTable5</c:name>
    <c:fmtId val="0"/>
  </c:pivotSource>
  <c:chart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/>
              </a:pPr>
              <a:endParaRPr lang="en-US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 All Oil Export Ex &amp;In'!$B$3</c:f>
              <c:strCache>
                <c:ptCount val="1"/>
                <c:pt idx="0">
                  <c:v> چارەکی یەکەم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All Oil Export Ex &amp;In'!$A$4:$A$14</c:f>
              <c:multiLvlStrCache>
                <c:ptCount val="5"/>
                <c:lvl>
                  <c:pt idx="0">
                    <c:v>کۆی هەناردەکردن و بەکاربردن  (بەرمیل)</c:v>
                  </c:pt>
                  <c:pt idx="1">
                    <c:v>کۆی هەناردەکردن و بەکاربردن  (بەرمیل)</c:v>
                  </c:pt>
                  <c:pt idx="2">
                    <c:v>کۆی هەناردەکردن و بەکاربردن  (بەرمیل)</c:v>
                  </c:pt>
                  <c:pt idx="3">
                    <c:v>کۆی هەناردەکردن و بەکاربردن  (بەرمیل)</c:v>
                  </c:pt>
                  <c:pt idx="4">
                    <c:v>کۆی هەناردەکردن و بەکاربردن  (بەرمیل)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'G All Oil Export Ex &amp;In'!$B$4:$B$14</c:f>
              <c:numCache>
                <c:formatCode>0.00</c:formatCode>
                <c:ptCount val="5"/>
                <c:pt idx="0">
                  <c:v>30.503447000000001</c:v>
                </c:pt>
                <c:pt idx="1">
                  <c:v>41.340645000000002</c:v>
                </c:pt>
                <c:pt idx="2">
                  <c:v>44.493844000000003</c:v>
                </c:pt>
                <c:pt idx="3">
                  <c:v>40.042771000000002</c:v>
                </c:pt>
                <c:pt idx="4">
                  <c:v>39.088709999999999</c:v>
                </c:pt>
              </c:numCache>
            </c:numRef>
          </c:val>
        </c:ser>
        <c:ser>
          <c:idx val="1"/>
          <c:order val="1"/>
          <c:tx>
            <c:strRef>
              <c:f>'G All Oil Export Ex &amp;In'!$C$3</c:f>
              <c:strCache>
                <c:ptCount val="1"/>
                <c:pt idx="0">
                  <c:v> چارەکی دووەم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All Oil Export Ex &amp;In'!$A$4:$A$14</c:f>
              <c:multiLvlStrCache>
                <c:ptCount val="5"/>
                <c:lvl>
                  <c:pt idx="0">
                    <c:v>کۆی هەناردەکردن و بەکاربردن  (بەرمیل)</c:v>
                  </c:pt>
                  <c:pt idx="1">
                    <c:v>کۆی هەناردەکردن و بەکاربردن  (بەرمیل)</c:v>
                  </c:pt>
                  <c:pt idx="2">
                    <c:v>کۆی هەناردەکردن و بەکاربردن  (بەرمیل)</c:v>
                  </c:pt>
                  <c:pt idx="3">
                    <c:v>کۆی هەناردەکردن و بەکاربردن  (بەرمیل)</c:v>
                  </c:pt>
                  <c:pt idx="4">
                    <c:v>کۆی هەناردەکردن و بەکاربردن  (بەرمیل)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'G All Oil Export Ex &amp;In'!$C$4:$C$14</c:f>
              <c:numCache>
                <c:formatCode>0.00</c:formatCode>
                <c:ptCount val="5"/>
                <c:pt idx="0">
                  <c:v>31.426144000000001</c:v>
                </c:pt>
                <c:pt idx="1">
                  <c:v>43.051135000000002</c:v>
                </c:pt>
                <c:pt idx="2">
                  <c:v>38.502000000000002</c:v>
                </c:pt>
                <c:pt idx="3">
                  <c:v>41.257260000000002</c:v>
                </c:pt>
                <c:pt idx="4">
                  <c:v>40.316080999999997</c:v>
                </c:pt>
              </c:numCache>
            </c:numRef>
          </c:val>
        </c:ser>
        <c:ser>
          <c:idx val="2"/>
          <c:order val="2"/>
          <c:tx>
            <c:strRef>
              <c:f>'G All Oil Export Ex &amp;In'!$D$3</c:f>
              <c:strCache>
                <c:ptCount val="1"/>
                <c:pt idx="0">
                  <c:v> چارەکی سێیەم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All Oil Export Ex &amp;In'!$A$4:$A$14</c:f>
              <c:multiLvlStrCache>
                <c:ptCount val="5"/>
                <c:lvl>
                  <c:pt idx="0">
                    <c:v>کۆی هەناردەکردن و بەکاربردن  (بەرمیل)</c:v>
                  </c:pt>
                  <c:pt idx="1">
                    <c:v>کۆی هەناردەکردن و بەکاربردن  (بەرمیل)</c:v>
                  </c:pt>
                  <c:pt idx="2">
                    <c:v>کۆی هەناردەکردن و بەکاربردن  (بەرمیل)</c:v>
                  </c:pt>
                  <c:pt idx="3">
                    <c:v>کۆی هەناردەکردن و بەکاربردن  (بەرمیل)</c:v>
                  </c:pt>
                  <c:pt idx="4">
                    <c:v>کۆی هەناردەکردن و بەکاربردن  (بەرمیل)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'G All Oil Export Ex &amp;In'!$D$4:$D$14</c:f>
              <c:numCache>
                <c:formatCode>0.00</c:formatCode>
                <c:ptCount val="5"/>
                <c:pt idx="0">
                  <c:v>35.751432000000001</c:v>
                </c:pt>
                <c:pt idx="1">
                  <c:v>42.37068</c:v>
                </c:pt>
                <c:pt idx="2">
                  <c:v>41.803077000000002</c:v>
                </c:pt>
                <c:pt idx="3">
                  <c:v>40.715800999999999</c:v>
                </c:pt>
              </c:numCache>
            </c:numRef>
          </c:val>
        </c:ser>
        <c:ser>
          <c:idx val="3"/>
          <c:order val="3"/>
          <c:tx>
            <c:strRef>
              <c:f>'G All Oil Export Ex &amp;In'!$E$3</c:f>
              <c:strCache>
                <c:ptCount val="1"/>
                <c:pt idx="0">
                  <c:v> چارەکی چوارەم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'G All Oil Export Ex &amp;In'!$A$4:$A$14</c:f>
              <c:multiLvlStrCache>
                <c:ptCount val="5"/>
                <c:lvl>
                  <c:pt idx="0">
                    <c:v>کۆی هەناردەکردن و بەکاربردن  (بەرمیل)</c:v>
                  </c:pt>
                  <c:pt idx="1">
                    <c:v>کۆی هەناردەکردن و بەکاربردن  (بەرمیل)</c:v>
                  </c:pt>
                  <c:pt idx="2">
                    <c:v>کۆی هەناردەکردن و بەکاربردن  (بەرمیل)</c:v>
                  </c:pt>
                  <c:pt idx="3">
                    <c:v>کۆی هەناردەکردن و بەکاربردن  (بەرمیل)</c:v>
                  </c:pt>
                  <c:pt idx="4">
                    <c:v>کۆی هەناردەکردن و بەکاربردن  (بەرمیل)</c:v>
                  </c:pt>
                </c:lvl>
                <c:lvl>
                  <c:pt idx="0">
                    <c:v>2018</c:v>
                  </c:pt>
                  <c:pt idx="1">
                    <c:v>2019</c:v>
                  </c:pt>
                  <c:pt idx="2">
                    <c:v>2020</c:v>
                  </c:pt>
                  <c:pt idx="3">
                    <c:v>2021</c:v>
                  </c:pt>
                  <c:pt idx="4">
                    <c:v>2022</c:v>
                  </c:pt>
                </c:lvl>
              </c:multiLvlStrCache>
            </c:multiLvlStrRef>
          </c:cat>
          <c:val>
            <c:numRef>
              <c:f>'G All Oil Export Ex &amp;In'!$E$4:$E$14</c:f>
              <c:numCache>
                <c:formatCode>0.00</c:formatCode>
                <c:ptCount val="5"/>
                <c:pt idx="0">
                  <c:v>40.960332999999999</c:v>
                </c:pt>
                <c:pt idx="1">
                  <c:v>44.215324000000003</c:v>
                </c:pt>
                <c:pt idx="2">
                  <c:v>41.143940999999998</c:v>
                </c:pt>
                <c:pt idx="3">
                  <c:v>40.512784000000003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0995584"/>
        <c:axId val="50997120"/>
      </c:barChart>
      <c:catAx>
        <c:axId val="50995584"/>
        <c:scaling>
          <c:orientation val="minMax"/>
        </c:scaling>
        <c:delete val="0"/>
        <c:axPos val="l"/>
        <c:majorTickMark val="out"/>
        <c:minorTickMark val="none"/>
        <c:tickLblPos val="nextTo"/>
        <c:crossAx val="50997120"/>
        <c:crosses val="autoZero"/>
        <c:auto val="1"/>
        <c:lblAlgn val="ctr"/>
        <c:lblOffset val="100"/>
        <c:noMultiLvlLbl val="0"/>
      </c:catAx>
      <c:valAx>
        <c:axId val="50997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ar-IQ"/>
                  <a:t>بەرمیل</a:t>
                </a:r>
                <a:r>
                  <a:rPr lang="ar-IQ" baseline="0"/>
                  <a:t> نەوت /ملیۆن 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509955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2133600</xdr:colOff>
      <xdr:row>6</xdr:row>
      <xdr:rowOff>114300</xdr:rowOff>
    </xdr:from>
    <xdr:to>
      <xdr:col>9</xdr:col>
      <xdr:colOff>438150</xdr:colOff>
      <xdr:row>36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1857374</xdr:colOff>
      <xdr:row>2</xdr:row>
      <xdr:rowOff>19049</xdr:rowOff>
    </xdr:from>
    <xdr:to>
      <xdr:col>9</xdr:col>
      <xdr:colOff>38099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0</xdr:row>
      <xdr:rowOff>0</xdr:rowOff>
    </xdr:from>
    <xdr:to>
      <xdr:col>15</xdr:col>
      <xdr:colOff>190500</xdr:colOff>
      <xdr:row>34</xdr:row>
      <xdr:rowOff>166688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7</xdr:row>
      <xdr:rowOff>119061</xdr:rowOff>
    </xdr:from>
    <xdr:to>
      <xdr:col>17</xdr:col>
      <xdr:colOff>400050</xdr:colOff>
      <xdr:row>30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hmood" refreshedDate="44949.732694212966" createdVersion="4" refreshedVersion="4" minRefreshableVersion="3" recordCount="20">
  <cacheSource type="worksheet">
    <worksheetSource ref="M8:S28" sheet="KRI &amp; Brent Price"/>
  </cacheSource>
  <cacheFields count="7">
    <cacheField name="جیاوازی برینت و نەوتی فرۆشراو لەناوخۆی هەرێمی کوردستان" numFmtId="0">
      <sharedItems containsString="0" containsBlank="1" containsNumber="1" minValue="-0.62433333333333962" maxValue="58.657333333333341"/>
    </cacheField>
    <cacheField name="جیاوازی برینت و نەرتی فرۆشراوی هەرێمی کوردستان بە بۆری" numFmtId="0">
      <sharedItems containsString="0" containsBlank="1" containsNumber="1" minValue="4.2686666666666611" maxValue="18.930666666666664"/>
    </cacheField>
    <cacheField name="تێکڕای نرخی نەوتی هەرێمی کوردستان بۆ ناوخۆ و پاڵاوگە / بەرمیلێک رۆژانە " numFmtId="0">
      <sharedItems containsString="0" containsBlank="1" containsNumber="1" minValue="44.338000000000001" maxValue="84.23"/>
    </cacheField>
    <cacheField name="تێکڕای نرخی نەوتی هەرێمی کوردستان  بە بۆری بۆ بەرمیلێک رۆژانە " numFmtId="0">
      <sharedItems containsString="0" containsBlank="1" containsNumber="1" minValue="15.781000000000001" maxValue="100.38800000000001"/>
    </cacheField>
    <cacheField name="تێکڕای نرخی برێنت بۆ بەرمیلێک رۆژانە " numFmtId="165">
      <sharedItems containsSemiMixedTypes="0" containsString="0" containsNumber="1" minValue="31.429999999999996" maxValue="112.74333333333334"/>
    </cacheField>
    <cacheField name="چارەکی ساڵ" numFmtId="0">
      <sharedItems count="4">
        <s v="چارەکی 1"/>
        <s v="چارەکی 2"/>
        <s v="چارەکی 3"/>
        <s v="چارەکی 4"/>
      </sharedItems>
    </cacheField>
    <cacheField name="ساڵ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hmood" refreshedDate="44949.754642939813" createdVersion="4" refreshedVersion="4" minRefreshableVersion="3" recordCount="5">
  <cacheSource type="worksheet">
    <worksheetSource ref="L18:Q23" sheet="All Oil Export Ex &amp;In"/>
  </cacheSource>
  <cacheFields count="6">
    <cacheField name="چارەکی چوارەم" numFmtId="2">
      <sharedItems containsString="0" containsBlank="1" containsNumber="1" minValue="40.512784000000003" maxValue="44.215324000000003" count="5">
        <n v="40.960332999999999"/>
        <n v="44.215324000000003"/>
        <n v="41.143940999999998"/>
        <n v="40.512784000000003"/>
        <m/>
      </sharedItems>
    </cacheField>
    <cacheField name="چارەکی سێیەم" numFmtId="2">
      <sharedItems containsString="0" containsBlank="1" containsNumber="1" minValue="35.751432000000001" maxValue="42.37068" count="5">
        <n v="35.751432000000001"/>
        <n v="42.37068"/>
        <n v="41.803077000000002"/>
        <n v="40.715800999999999"/>
        <m/>
      </sharedItems>
    </cacheField>
    <cacheField name="چارەکی دووەم" numFmtId="2">
      <sharedItems containsSemiMixedTypes="0" containsString="0" containsNumber="1" minValue="31.426144000000001" maxValue="43.051135000000002" count="5">
        <n v="31.426144000000001"/>
        <n v="43.051135000000002"/>
        <n v="38.502000000000002"/>
        <n v="41.257260000000002"/>
        <n v="40.316080999999997"/>
      </sharedItems>
    </cacheField>
    <cacheField name="چارەکی یەکەم" numFmtId="2">
      <sharedItems containsSemiMixedTypes="0" containsString="0" containsNumber="1" minValue="30.503447000000001" maxValue="44.493844000000003" count="5">
        <n v="30.503447000000001"/>
        <n v="41.340645000000002"/>
        <n v="44.493844000000003"/>
        <n v="40.042771000000002"/>
        <n v="39.088709999999999"/>
      </sharedItems>
    </cacheField>
    <cacheField name="کۆی هەناردەکردن و بەکاربردن  (بەرمیل)" numFmtId="0">
      <sharedItems count="1">
        <s v="کۆی هەناردەکردن و بەکاربردن  (بەرمیل)"/>
      </sharedItems>
    </cacheField>
    <cacheField name="ساڵ 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hmood" refreshedDate="44950.670132291663" createdVersion="4" refreshedVersion="4" minRefreshableVersion="3" recordCount="10">
  <cacheSource type="worksheet">
    <worksheetSource ref="F3:K13" sheet="Revnue, Cost &amp; NetIncome KRI"/>
  </cacheSource>
  <cacheFields count="6">
    <cacheField name="چارەکی چوارەم" numFmtId="2">
      <sharedItems containsString="0" containsBlank="1" containsNumber="1" minValue="513.69574799999998" maxValue="2569.1430220000002" count="9">
        <n v="2149.8097550000002"/>
        <n v="2119.692912"/>
        <n v="1272.698547"/>
        <n v="2569.1430220000002"/>
        <m/>
        <n v="1096.478527"/>
        <n v="700.62835500000006"/>
        <n v="513.69574799999998"/>
        <n v="1094.3655100000001"/>
      </sharedItems>
    </cacheField>
    <cacheField name="چارەکی سێیەم" numFmtId="2">
      <sharedItems containsString="0" containsBlank="1" containsNumber="1" minValue="553.48779999999999" maxValue="2429.7620729999999" count="9">
        <n v="2262.4097839999999"/>
        <n v="1990.417608"/>
        <n v="1243.5265710000001"/>
        <n v="2429.7620729999999"/>
        <m/>
        <n v="1288.7733740000001"/>
        <n v="1066.671681"/>
        <n v="553.48779999999999"/>
        <n v="1133.267918"/>
      </sharedItems>
    </cacheField>
    <cacheField name="چارەکی دووەم" numFmtId="2">
      <sharedItems containsSemiMixedTypes="0" containsString="0" containsNumber="1" minValue="317.30449099999998" maxValue="3789.2902789999998"/>
    </cacheField>
    <cacheField name="چارەکی یەکەم" numFmtId="2">
      <sharedItems containsSemiMixedTypes="0" containsString="0" containsNumber="1" minValue="648.58944299999996" maxValue="3063.3568909999999"/>
    </cacheField>
    <cacheField name="داهاتی نەوت" numFmtId="0">
      <sharedItems count="2">
        <s v="کۆی بەهای نەوت* "/>
        <s v="سافى داهات**"/>
      </sharedItems>
    </cacheField>
    <cacheField name="ساڵ" numFmtId="0">
      <sharedItems containsSemiMixedTypes="0" containsString="0" containsNumber="1" containsInteger="1" minValue="2018" maxValue="2022" count="5">
        <n v="2018"/>
        <n v="2019"/>
        <n v="2020"/>
        <n v="2021"/>
        <n v="202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n v="14.541333333333334"/>
    <n v="12.136333333333333"/>
    <n v="52.411999999999999"/>
    <n v="54.817"/>
    <n v="66.953333333333333"/>
    <x v="0"/>
    <x v="0"/>
  </r>
  <r>
    <n v="18.194999999999993"/>
    <n v="11.635999999999996"/>
    <n v="56.295000000000002"/>
    <n v="62.853999999999999"/>
    <n v="74.489999999999995"/>
    <x v="1"/>
    <x v="0"/>
  </r>
  <r>
    <n v="7.742666666666679"/>
    <n v="12.378666666666675"/>
    <n v="67.733999999999995"/>
    <n v="63.097999999999999"/>
    <n v="75.476666666666674"/>
    <x v="2"/>
    <x v="0"/>
  </r>
  <r>
    <n v="22.891666666666659"/>
    <n v="4.2686666666666611"/>
    <n v="44.475000000000001"/>
    <n v="63.097999999999999"/>
    <n v="67.36666666666666"/>
    <x v="3"/>
    <x v="0"/>
  </r>
  <r>
    <n v="17.347000000000001"/>
    <n v="11.463000000000001"/>
    <n v="45.923000000000002"/>
    <n v="51.807000000000002"/>
    <n v="63.27"/>
    <x v="0"/>
    <x v="1"/>
  </r>
  <r>
    <n v="20.504333333333349"/>
    <n v="11.15633333333335"/>
    <n v="47.838999999999999"/>
    <n v="57.186999999999998"/>
    <n v="68.343333333333348"/>
    <x v="1"/>
    <x v="1"/>
  </r>
  <r>
    <n v="17.521999999999991"/>
    <n v="12.449999999999996"/>
    <n v="44.338000000000001"/>
    <n v="49.41"/>
    <n v="61.859999999999992"/>
    <x v="2"/>
    <x v="1"/>
  </r>
  <r>
    <n v="17.391333333333328"/>
    <n v="10.36033333333333"/>
    <n v="45.262"/>
    <n v="52.292999999999999"/>
    <n v="62.653333333333329"/>
    <x v="3"/>
    <x v="1"/>
  </r>
  <r>
    <n v="-0.62433333333333962"/>
    <n v="18.930666666666664"/>
    <n v="51.151000000000003"/>
    <n v="31.596"/>
    <n v="50.526666666666664"/>
    <x v="0"/>
    <x v="2"/>
  </r>
  <r>
    <m/>
    <n v="15.648999999999996"/>
    <m/>
    <n v="15.781000000000001"/>
    <n v="31.429999999999996"/>
    <x v="1"/>
    <x v="2"/>
  </r>
  <r>
    <m/>
    <n v="11.050999999999998"/>
    <m/>
    <n v="31.669"/>
    <n v="42.72"/>
    <x v="2"/>
    <x v="2"/>
  </r>
  <r>
    <m/>
    <n v="12.013333333333335"/>
    <m/>
    <n v="32.51"/>
    <n v="44.523333333333333"/>
    <x v="3"/>
    <x v="2"/>
  </r>
  <r>
    <n v="1.0926666666666662"/>
    <n v="11.605666666666664"/>
    <n v="59.473999999999997"/>
    <n v="48.960999999999999"/>
    <n v="60.566666666666663"/>
    <x v="0"/>
    <x v="3"/>
  </r>
  <r>
    <n v="4.4276666666666671"/>
    <n v="10.920666666666662"/>
    <n v="64.198999999999998"/>
    <n v="57.706000000000003"/>
    <n v="68.626666666666665"/>
    <x v="1"/>
    <x v="3"/>
  </r>
  <r>
    <n v="23.158333333333331"/>
    <n v="10.135333333333328"/>
    <n v="49.844999999999999"/>
    <n v="62.868000000000002"/>
    <n v="73.00333333333333"/>
    <x v="2"/>
    <x v="3"/>
  </r>
  <r>
    <n v="23.835666666666668"/>
    <n v="11.146666666666661"/>
    <n v="55.741"/>
    <n v="68.430000000000007"/>
    <n v="79.576666666666668"/>
    <x v="3"/>
    <x v="3"/>
  </r>
  <r>
    <n v="14.72999999999999"/>
    <n v="12.22999999999999"/>
    <n v="84.23"/>
    <n v="86.73"/>
    <n v="98.96"/>
    <x v="0"/>
    <x v="4"/>
  </r>
  <r>
    <n v="58.657333333333341"/>
    <n v="12.355333333333334"/>
    <n v="54.085999999999999"/>
    <n v="100.38800000000001"/>
    <n v="112.74333333333334"/>
    <x v="1"/>
    <x v="4"/>
  </r>
  <r>
    <m/>
    <m/>
    <m/>
    <m/>
    <n v="99.226666666666645"/>
    <x v="2"/>
    <x v="4"/>
  </r>
  <r>
    <m/>
    <m/>
    <m/>
    <m/>
    <n v="88.366666666666674"/>
    <x v="3"/>
    <x v="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x v="0"/>
    <x v="0"/>
  </r>
  <r>
    <x v="1"/>
    <x v="1"/>
    <x v="1"/>
    <x v="1"/>
    <x v="0"/>
    <x v="1"/>
  </r>
  <r>
    <x v="2"/>
    <x v="2"/>
    <x v="2"/>
    <x v="2"/>
    <x v="0"/>
    <x v="2"/>
  </r>
  <r>
    <x v="3"/>
    <x v="3"/>
    <x v="3"/>
    <x v="3"/>
    <x v="0"/>
    <x v="3"/>
  </r>
  <r>
    <x v="4"/>
    <x v="4"/>
    <x v="4"/>
    <x v="4"/>
    <x v="0"/>
    <x v="4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">
  <r>
    <x v="0"/>
    <x v="0"/>
    <n v="1838.8185550000001"/>
    <n v="1663.708781"/>
    <x v="0"/>
    <x v="0"/>
  </r>
  <r>
    <x v="1"/>
    <x v="1"/>
    <n v="2295.6269830000001"/>
    <n v="2032.863797"/>
    <x v="0"/>
    <x v="1"/>
  </r>
  <r>
    <x v="2"/>
    <x v="2"/>
    <n v="590.34950400000002"/>
    <n v="1342.260646"/>
    <x v="0"/>
    <x v="2"/>
  </r>
  <r>
    <x v="3"/>
    <x v="3"/>
    <n v="2286.368434"/>
    <n v="1840.7135270000001"/>
    <x v="0"/>
    <x v="3"/>
  </r>
  <r>
    <x v="4"/>
    <x v="4"/>
    <n v="3789.2902789999998"/>
    <n v="3063.3568909999999"/>
    <x v="0"/>
    <x v="4"/>
  </r>
  <r>
    <x v="5"/>
    <x v="5"/>
    <n v="1309.8999060000001"/>
    <n v="648.58944299999996"/>
    <x v="1"/>
    <x v="0"/>
  </r>
  <r>
    <x v="6"/>
    <x v="6"/>
    <n v="1108.364145"/>
    <n v="1639.7574440000001"/>
    <x v="1"/>
    <x v="1"/>
  </r>
  <r>
    <x v="7"/>
    <x v="7"/>
    <n v="317.30449099999998"/>
    <n v="960.98967300000004"/>
    <x v="1"/>
    <x v="2"/>
  </r>
  <r>
    <x v="8"/>
    <x v="8"/>
    <n v="894.43040599999995"/>
    <n v="842.75066800000002"/>
    <x v="1"/>
    <x v="3"/>
  </r>
  <r>
    <x v="4"/>
    <x v="4"/>
    <n v="1571.985275"/>
    <n v="1343.841232"/>
    <x v="1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20">
  <location ref="A3:C29" firstHeaderRow="0" firstDataRow="1" firstDataCol="1"/>
  <pivotFields count="7">
    <pivotField dataField="1" showAll="0"/>
    <pivotField dataField="1" showAll="0"/>
    <pivotField showAll="0"/>
    <pivotField showAll="0"/>
    <pivotField numFmtId="165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2">
    <field x="6"/>
    <field x="5"/>
  </rowFields>
  <rowItems count="26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 جیاوازی برینت و نەوتی فرۆشراوی هەرێمی کوردستان بە بۆری" fld="1" baseField="6" baseItem="0"/>
    <dataField name=" جیاوازی برینت و نەوتی فرۆشراو لەناوخۆی هەرێمی کوردستان" fld="0" baseField="5" baseItem="0"/>
  </dataFields>
  <formats count="7">
    <format dxfId="15">
      <pivotArea collapsedLevelsAreSubtotals="1" fieldPosition="0">
        <references count="2">
          <reference field="5" count="1" selected="0">
            <x v="0"/>
          </reference>
          <reference field="6" count="0"/>
        </references>
      </pivotArea>
    </format>
    <format dxfId="14">
      <pivotArea collapsedLevelsAreSubtotals="1" fieldPosition="0">
        <references count="1">
          <reference field="5" count="1">
            <x v="1"/>
          </reference>
        </references>
      </pivotArea>
    </format>
    <format dxfId="13">
      <pivotArea collapsedLevelsAreSubtotals="1" fieldPosition="0">
        <references count="2">
          <reference field="5" count="1" selected="0">
            <x v="1"/>
          </reference>
          <reference field="6" count="0"/>
        </references>
      </pivotArea>
    </format>
    <format dxfId="12">
      <pivotArea collapsedLevelsAreSubtotals="1" fieldPosition="0">
        <references count="1">
          <reference field="5" count="1">
            <x v="2"/>
          </reference>
        </references>
      </pivotArea>
    </format>
    <format dxfId="11">
      <pivotArea collapsedLevelsAreSubtotals="1" fieldPosition="0">
        <references count="2">
          <reference field="5" count="1" selected="0">
            <x v="2"/>
          </reference>
          <reference field="6" count="0"/>
        </references>
      </pivotArea>
    </format>
    <format dxfId="10">
      <pivotArea collapsedLevelsAreSubtotals="1" fieldPosition="0">
        <references count="1">
          <reference field="5" count="1">
            <x v="3"/>
          </reference>
        </references>
      </pivotArea>
    </format>
    <format dxfId="9">
      <pivotArea collapsedLevelsAreSubtotals="1" fieldPosition="0">
        <references count="2">
          <reference field="5" count="1" selected="0">
            <x v="3"/>
          </reference>
          <reference field="6" count="0"/>
        </references>
      </pivotArea>
    </format>
  </formats>
  <chartFormats count="4">
    <chartFormat chart="5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8">
      <pivotArea type="data" outline="0" fieldPosition="0">
        <references count="3">
          <reference field="4294967294" count="1" selected="0">
            <x v="0"/>
          </reference>
          <reference field="5" count="1" selected="0">
            <x v="3"/>
          </reference>
          <reference field="6" count="1" selected="0">
            <x v="4"/>
          </reference>
        </references>
      </pivotArea>
    </chartFormat>
    <chartFormat chart="5" format="9">
      <pivotArea type="data" outline="0" fieldPosition="0">
        <references count="3">
          <reference field="4294967294" count="1" selected="0">
            <x v="1"/>
          </reference>
          <reference field="5" count="1" selected="0">
            <x v="3"/>
          </reference>
          <reference field="6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D28" firstHeaderRow="0" firstDataRow="1" firstDataCol="1"/>
  <pivotFields count="7">
    <pivotField showAll="0"/>
    <pivotField showAll="0"/>
    <pivotField dataField="1" showAll="0"/>
    <pivotField dataField="1" showAll="0"/>
    <pivotField dataField="1" numFmtId="165"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2">
    <field x="5"/>
    <field x="6"/>
  </rowFields>
  <rowItems count="25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 تێکڕای نرخی برێنت بۆ بەرمیلێک رۆژانە " fld="4" baseField="5" baseItem="0"/>
    <dataField name=" تێکڕای نرخی نەوتی هەرێمی کوردستان  بە بۆری بۆ بەرمیلێک رۆژانە " fld="3" baseField="5" baseItem="0"/>
    <dataField name=" تێکڕای نرخی نەوتی هەرێمی کوردستان بۆ ناوخۆ و پاڵاوگە / بەرمیلێک رۆژانە " fld="2" baseField="5" baseItem="0"/>
  </dataFields>
  <formats count="7">
    <format dxfId="8">
      <pivotArea collapsedLevelsAreSubtotals="1" fieldPosition="0">
        <references count="2">
          <reference field="5" count="1" selected="0">
            <x v="0"/>
          </reference>
          <reference field="6" count="0"/>
        </references>
      </pivotArea>
    </format>
    <format dxfId="7">
      <pivotArea collapsedLevelsAreSubtotals="1" fieldPosition="0">
        <references count="1">
          <reference field="5" count="1">
            <x v="1"/>
          </reference>
        </references>
      </pivotArea>
    </format>
    <format dxfId="6">
      <pivotArea collapsedLevelsAreSubtotals="1" fieldPosition="0">
        <references count="2">
          <reference field="5" count="1" selected="0">
            <x v="1"/>
          </reference>
          <reference field="6" count="0"/>
        </references>
      </pivotArea>
    </format>
    <format dxfId="5">
      <pivotArea collapsedLevelsAreSubtotals="1" fieldPosition="0">
        <references count="1">
          <reference field="5" count="1">
            <x v="2"/>
          </reference>
        </references>
      </pivotArea>
    </format>
    <format dxfId="4">
      <pivotArea collapsedLevelsAreSubtotals="1" fieldPosition="0">
        <references count="2">
          <reference field="5" count="1" selected="0">
            <x v="2"/>
          </reference>
          <reference field="6" count="0"/>
        </references>
      </pivotArea>
    </format>
    <format dxfId="3">
      <pivotArea collapsedLevelsAreSubtotals="1" fieldPosition="0">
        <references count="1">
          <reference field="5" count="1">
            <x v="3"/>
          </reference>
        </references>
      </pivotArea>
    </format>
    <format dxfId="2">
      <pivotArea collapsedLevelsAreSubtotals="1" fieldPosition="0">
        <references count="2">
          <reference field="5" count="1" selected="0">
            <x v="3"/>
          </reference>
          <reference field="6" count="0"/>
        </references>
      </pivotArea>
    </format>
  </format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6">
  <location ref="A3:E19" firstHeaderRow="0" firstDataRow="1" firstDataCol="1"/>
  <pivotFields count="6">
    <pivotField dataField="1" showAll="0">
      <items count="10">
        <item x="7"/>
        <item x="6"/>
        <item x="8"/>
        <item x="5"/>
        <item x="2"/>
        <item x="1"/>
        <item x="0"/>
        <item x="3"/>
        <item x="4"/>
        <item t="default"/>
      </items>
    </pivotField>
    <pivotField dataField="1" showAll="0">
      <items count="10">
        <item x="7"/>
        <item x="6"/>
        <item x="8"/>
        <item x="2"/>
        <item x="5"/>
        <item x="1"/>
        <item x="0"/>
        <item x="3"/>
        <item x="4"/>
        <item t="default"/>
      </items>
    </pivotField>
    <pivotField dataField="1" numFmtId="2" showAll="0"/>
    <pivotField dataField="1" numFmtId="2" showAll="0"/>
    <pivotField axis="axisRow" showAll="0">
      <items count="3">
        <item x="1"/>
        <item x="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2">
    <field x="5"/>
    <field x="4"/>
  </rowFields>
  <rowItems count="16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چارەکی یەکەم" fld="3" baseField="5" baseItem="0"/>
    <dataField name=" چارەکی دووەم" fld="2" baseField="5" baseItem="0"/>
    <dataField name=" چارەکی سێیەم" fld="1" baseField="5" baseItem="0"/>
    <dataField name=" چارەکی چوارەم" fld="0" baseField="5" baseItem="0"/>
  </dataFields>
  <formats count="1">
    <format dxfId="1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chartFormat="5">
  <location ref="A3:E14" firstHeaderRow="0" firstDataRow="1" firstDataCol="1"/>
  <pivotFields count="6">
    <pivotField dataField="1" showAll="0">
      <items count="6">
        <item x="3"/>
        <item x="0"/>
        <item x="2"/>
        <item x="1"/>
        <item x="4"/>
        <item t="default"/>
      </items>
    </pivotField>
    <pivotField dataField="1" showAll="0">
      <items count="6">
        <item x="0"/>
        <item x="3"/>
        <item x="2"/>
        <item x="1"/>
        <item x="4"/>
        <item t="default"/>
      </items>
    </pivotField>
    <pivotField dataField="1" numFmtId="2" showAll="0">
      <items count="6">
        <item x="0"/>
        <item x="2"/>
        <item x="4"/>
        <item x="3"/>
        <item x="1"/>
        <item t="default"/>
      </items>
    </pivotField>
    <pivotField dataField="1" numFmtId="2" showAll="0">
      <items count="6">
        <item x="0"/>
        <item x="4"/>
        <item x="3"/>
        <item x="1"/>
        <item x="2"/>
        <item t="default"/>
      </items>
    </pivotField>
    <pivotField axis="axisRow" showAll="0">
      <items count="2">
        <item x="0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</pivotFields>
  <rowFields count="2">
    <field x="5"/>
    <field x="4"/>
  </rowFields>
  <rowItems count="11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چارەکی یەکەم" fld="3" baseField="5" baseItem="0"/>
    <dataField name=" چارەکی دووەم" fld="2" baseField="5" baseItem="0"/>
    <dataField name=" چارەکی سێیەم" fld="1" baseField="5" baseItem="0"/>
    <dataField name=" چارەکی چوارەم" fld="0" baseField="5" baseItem="0"/>
  </dataFields>
  <formats count="1">
    <format dxfId="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K142"/>
  <sheetViews>
    <sheetView topLeftCell="A67" zoomScale="55" zoomScaleNormal="55" workbookViewId="0">
      <selection activeCell="D137" sqref="D137"/>
    </sheetView>
  </sheetViews>
  <sheetFormatPr defaultRowHeight="15" x14ac:dyDescent="0.25"/>
  <cols>
    <col min="6" max="6" width="38.7109375" customWidth="1"/>
    <col min="7" max="7" width="41.42578125" customWidth="1"/>
    <col min="8" max="8" width="44.42578125" customWidth="1"/>
    <col min="9" max="9" width="42.140625" customWidth="1"/>
    <col min="10" max="10" width="102.85546875" customWidth="1"/>
    <col min="11" max="11" width="48.7109375" bestFit="1" customWidth="1"/>
  </cols>
  <sheetData>
    <row r="3" spans="6:11" ht="15.75" thickBot="1" x14ac:dyDescent="0.3"/>
    <row r="4" spans="6:11" ht="18.75" x14ac:dyDescent="0.25">
      <c r="F4" s="95">
        <v>2018</v>
      </c>
      <c r="G4" s="96"/>
      <c r="H4" s="96"/>
      <c r="I4" s="96"/>
      <c r="J4" s="96"/>
      <c r="K4" s="97"/>
    </row>
    <row r="5" spans="6:11" x14ac:dyDescent="0.25">
      <c r="F5" s="61" t="s">
        <v>8</v>
      </c>
      <c r="G5" s="62" t="s">
        <v>7</v>
      </c>
      <c r="H5" s="62" t="s">
        <v>6</v>
      </c>
      <c r="I5" s="62" t="s">
        <v>5</v>
      </c>
      <c r="J5" s="62"/>
      <c r="K5" s="63"/>
    </row>
    <row r="6" spans="6:11" x14ac:dyDescent="0.25">
      <c r="F6" s="64">
        <v>39399182</v>
      </c>
      <c r="G6" s="65">
        <v>35246851</v>
      </c>
      <c r="H6" s="66">
        <v>30190384</v>
      </c>
      <c r="I6" s="67">
        <v>133174416</v>
      </c>
      <c r="J6" s="62" t="s">
        <v>32</v>
      </c>
      <c r="K6" s="63" t="s">
        <v>0</v>
      </c>
    </row>
    <row r="7" spans="6:11" x14ac:dyDescent="0.25">
      <c r="F7" s="61"/>
      <c r="G7" s="62"/>
      <c r="H7" s="66"/>
      <c r="I7" s="67">
        <v>0</v>
      </c>
      <c r="J7" s="62" t="s">
        <v>33</v>
      </c>
      <c r="K7" s="63"/>
    </row>
    <row r="8" spans="6:11" x14ac:dyDescent="0.25">
      <c r="F8" s="64">
        <v>1011902</v>
      </c>
      <c r="G8" s="65">
        <v>329820</v>
      </c>
      <c r="H8" s="66">
        <v>278750</v>
      </c>
      <c r="I8" s="67">
        <v>559341</v>
      </c>
      <c r="J8" s="62" t="s">
        <v>34</v>
      </c>
      <c r="K8" s="63"/>
    </row>
    <row r="9" spans="6:11" x14ac:dyDescent="0.25">
      <c r="F9" s="64">
        <v>200296</v>
      </c>
      <c r="G9" s="62"/>
      <c r="H9" s="66"/>
      <c r="I9" s="67">
        <v>609649</v>
      </c>
      <c r="J9" s="68" t="s">
        <v>35</v>
      </c>
      <c r="K9" s="63"/>
    </row>
    <row r="10" spans="6:11" x14ac:dyDescent="0.25">
      <c r="F10" s="64">
        <v>348953</v>
      </c>
      <c r="G10" s="65">
        <v>174761</v>
      </c>
      <c r="H10" s="66">
        <v>957010</v>
      </c>
      <c r="I10" s="67">
        <v>996458</v>
      </c>
      <c r="J10" s="68" t="s">
        <v>36</v>
      </c>
      <c r="K10" s="63"/>
    </row>
    <row r="11" spans="6:11" x14ac:dyDescent="0.25">
      <c r="F11" s="64">
        <v>40960333</v>
      </c>
      <c r="G11" s="65">
        <v>35751432</v>
      </c>
      <c r="H11" s="67">
        <v>31426144</v>
      </c>
      <c r="I11" s="67">
        <v>30503447</v>
      </c>
      <c r="J11" s="62" t="s">
        <v>37</v>
      </c>
      <c r="K11" s="63"/>
    </row>
    <row r="12" spans="6:11" x14ac:dyDescent="0.25">
      <c r="F12" s="64">
        <v>39215669</v>
      </c>
      <c r="G12" s="65">
        <v>35667632</v>
      </c>
      <c r="H12" s="67">
        <v>28398248</v>
      </c>
      <c r="I12" s="67">
        <v>28447848</v>
      </c>
      <c r="J12" s="62" t="s">
        <v>38</v>
      </c>
      <c r="K12" s="63" t="s">
        <v>1</v>
      </c>
    </row>
    <row r="13" spans="6:11" ht="30" x14ac:dyDescent="0.25">
      <c r="F13" s="64">
        <v>2125381980</v>
      </c>
      <c r="G13" s="65">
        <v>2250572508</v>
      </c>
      <c r="H13" s="67">
        <v>1784943575</v>
      </c>
      <c r="I13" s="67">
        <v>1559412410</v>
      </c>
      <c r="J13" s="68" t="s">
        <v>39</v>
      </c>
      <c r="K13" s="63"/>
    </row>
    <row r="14" spans="6:11" x14ac:dyDescent="0.25">
      <c r="F14" s="61">
        <v>54.197000000000003</v>
      </c>
      <c r="G14" s="62">
        <v>63.097999999999999</v>
      </c>
      <c r="H14" s="67">
        <v>62.853999999999999</v>
      </c>
      <c r="I14" s="67">
        <v>54.817</v>
      </c>
      <c r="J14" s="68" t="s">
        <v>53</v>
      </c>
      <c r="K14" s="63"/>
    </row>
    <row r="15" spans="6:11" x14ac:dyDescent="0.25">
      <c r="F15" s="64"/>
      <c r="G15" s="62"/>
      <c r="H15" s="62"/>
      <c r="I15" s="67">
        <v>408277</v>
      </c>
      <c r="J15" s="68" t="s">
        <v>52</v>
      </c>
      <c r="K15" s="63" t="s">
        <v>25</v>
      </c>
    </row>
    <row r="16" spans="6:11" ht="30" x14ac:dyDescent="0.25">
      <c r="F16" s="61"/>
      <c r="G16" s="62"/>
      <c r="H16" s="62"/>
      <c r="I16" s="67">
        <v>20117037</v>
      </c>
      <c r="J16" s="68" t="s">
        <v>39</v>
      </c>
      <c r="K16" s="63"/>
    </row>
    <row r="17" spans="6:11" x14ac:dyDescent="0.25">
      <c r="F17" s="61"/>
      <c r="G17" s="62"/>
      <c r="H17" s="62"/>
      <c r="I17" s="67">
        <v>49.273000000000003</v>
      </c>
      <c r="J17" s="68" t="s">
        <v>51</v>
      </c>
      <c r="K17" s="63"/>
    </row>
    <row r="18" spans="6:11" x14ac:dyDescent="0.25">
      <c r="F18" s="64">
        <v>549249</v>
      </c>
      <c r="G18" s="65">
        <v>174761</v>
      </c>
      <c r="H18" s="67">
        <v>957010</v>
      </c>
      <c r="I18" s="67">
        <v>1606107</v>
      </c>
      <c r="J18" s="68" t="s">
        <v>50</v>
      </c>
      <c r="K18" s="63" t="s">
        <v>29</v>
      </c>
    </row>
    <row r="19" spans="6:11" x14ac:dyDescent="0.25">
      <c r="F19" s="64">
        <v>24427775</v>
      </c>
      <c r="G19" s="65">
        <v>11837276</v>
      </c>
      <c r="H19" s="67">
        <v>53874980</v>
      </c>
      <c r="I19" s="67">
        <v>84179334</v>
      </c>
      <c r="J19" s="68" t="s">
        <v>49</v>
      </c>
      <c r="K19" s="63"/>
    </row>
    <row r="20" spans="6:11" x14ac:dyDescent="0.25">
      <c r="F20" s="61">
        <v>44.475000000000001</v>
      </c>
      <c r="G20" s="62">
        <v>67.733999999999995</v>
      </c>
      <c r="H20" s="67">
        <v>56.295000000000002</v>
      </c>
      <c r="I20" s="67">
        <v>52.411999999999999</v>
      </c>
      <c r="J20" s="68" t="s">
        <v>48</v>
      </c>
      <c r="K20" s="63"/>
    </row>
    <row r="21" spans="6:11" x14ac:dyDescent="0.25">
      <c r="F21" s="64">
        <v>2149809755</v>
      </c>
      <c r="G21" s="65">
        <v>2262409784</v>
      </c>
      <c r="H21" s="67">
        <v>1838818555</v>
      </c>
      <c r="I21" s="67">
        <v>1663708781</v>
      </c>
      <c r="J21" s="68" t="s">
        <v>47</v>
      </c>
      <c r="K21" s="63" t="s">
        <v>4</v>
      </c>
    </row>
    <row r="22" spans="6:11" x14ac:dyDescent="0.25">
      <c r="F22" s="64">
        <v>91569430</v>
      </c>
      <c r="G22" s="65">
        <v>181385298</v>
      </c>
      <c r="H22" s="67">
        <v>201654971</v>
      </c>
      <c r="I22" s="67">
        <v>428760513</v>
      </c>
      <c r="J22" s="68" t="s">
        <v>46</v>
      </c>
      <c r="K22" s="63"/>
    </row>
    <row r="23" spans="6:11" x14ac:dyDescent="0.25">
      <c r="F23" s="64">
        <v>9913068</v>
      </c>
      <c r="G23" s="65">
        <v>7597119</v>
      </c>
      <c r="H23" s="67">
        <v>9213610</v>
      </c>
      <c r="I23" s="67" t="s">
        <v>40</v>
      </c>
      <c r="J23" s="68" t="s">
        <v>45</v>
      </c>
      <c r="K23" s="63"/>
    </row>
    <row r="24" spans="6:11" x14ac:dyDescent="0.25">
      <c r="F24" s="64">
        <v>782195553</v>
      </c>
      <c r="G24" s="65">
        <v>616149067</v>
      </c>
      <c r="H24" s="67">
        <v>549528356</v>
      </c>
      <c r="I24" s="67">
        <v>459263330</v>
      </c>
      <c r="J24" s="68" t="s">
        <v>44</v>
      </c>
      <c r="K24" s="63"/>
    </row>
    <row r="25" spans="6:11" x14ac:dyDescent="0.25">
      <c r="F25" s="64">
        <v>135581373</v>
      </c>
      <c r="G25" s="65">
        <v>108094863</v>
      </c>
      <c r="H25" s="67" t="s">
        <v>56</v>
      </c>
      <c r="I25" s="67"/>
      <c r="J25" s="68" t="s">
        <v>55</v>
      </c>
      <c r="K25" s="63"/>
    </row>
    <row r="26" spans="6:11" x14ac:dyDescent="0.25">
      <c r="F26" s="64">
        <v>275000160</v>
      </c>
      <c r="G26" s="65">
        <v>115000060</v>
      </c>
      <c r="H26" s="67">
        <v>200000060</v>
      </c>
      <c r="I26" s="67"/>
      <c r="J26" s="68" t="s">
        <v>57</v>
      </c>
      <c r="K26" s="63"/>
    </row>
    <row r="27" spans="6:11" x14ac:dyDescent="0.25">
      <c r="F27" s="61" t="s">
        <v>61</v>
      </c>
      <c r="G27" s="65">
        <v>80696865</v>
      </c>
      <c r="H27" s="67">
        <v>70953536</v>
      </c>
      <c r="I27" s="67">
        <v>336819106</v>
      </c>
      <c r="J27" s="68" t="s">
        <v>43</v>
      </c>
      <c r="K27" s="63"/>
    </row>
    <row r="28" spans="6:11" x14ac:dyDescent="0.25">
      <c r="F28" s="64">
        <v>311717533</v>
      </c>
      <c r="G28" s="65">
        <v>135286862</v>
      </c>
      <c r="H28" s="67">
        <v>197795251</v>
      </c>
      <c r="I28" s="67">
        <v>223455047</v>
      </c>
      <c r="J28" s="68" t="s">
        <v>42</v>
      </c>
      <c r="K28" s="63"/>
    </row>
    <row r="29" spans="6:11" x14ac:dyDescent="0.25">
      <c r="F29" s="64">
        <v>1096478527</v>
      </c>
      <c r="G29" s="65">
        <v>1288773374</v>
      </c>
      <c r="H29" s="67">
        <v>1309899906</v>
      </c>
      <c r="I29" s="67">
        <v>648589443</v>
      </c>
      <c r="J29" s="68" t="s">
        <v>41</v>
      </c>
      <c r="K29" s="63"/>
    </row>
    <row r="30" spans="6:11" ht="15.75" thickBot="1" x14ac:dyDescent="0.3">
      <c r="F30" s="69">
        <v>86000000</v>
      </c>
      <c r="G30" s="70">
        <v>104598002</v>
      </c>
      <c r="H30" s="71"/>
      <c r="I30" s="71"/>
      <c r="J30" s="72" t="s">
        <v>60</v>
      </c>
      <c r="K30" s="73"/>
    </row>
    <row r="31" spans="6:11" ht="18.75" x14ac:dyDescent="0.25">
      <c r="F31" s="92">
        <v>2019</v>
      </c>
      <c r="G31" s="93"/>
      <c r="H31" s="93"/>
      <c r="I31" s="93"/>
      <c r="J31" s="93"/>
      <c r="K31" s="94"/>
    </row>
    <row r="32" spans="6:11" x14ac:dyDescent="0.25">
      <c r="F32" s="74" t="s">
        <v>11</v>
      </c>
      <c r="G32" s="75" t="s">
        <v>12</v>
      </c>
      <c r="H32" s="75" t="s">
        <v>10</v>
      </c>
      <c r="I32" s="75" t="s">
        <v>9</v>
      </c>
      <c r="J32" s="62"/>
      <c r="K32" s="63"/>
    </row>
    <row r="33" spans="6:11" x14ac:dyDescent="0.25">
      <c r="F33" s="64">
        <v>42054326</v>
      </c>
      <c r="G33" s="65">
        <v>39896860</v>
      </c>
      <c r="H33" s="76">
        <v>40191108</v>
      </c>
      <c r="I33" s="67">
        <v>38163989</v>
      </c>
      <c r="J33" s="62" t="s">
        <v>32</v>
      </c>
      <c r="K33" s="63" t="s">
        <v>0</v>
      </c>
    </row>
    <row r="34" spans="6:11" x14ac:dyDescent="0.25">
      <c r="F34" s="64"/>
      <c r="G34" s="62"/>
      <c r="H34" s="66"/>
      <c r="I34" s="67"/>
      <c r="J34" s="62" t="s">
        <v>33</v>
      </c>
      <c r="K34" s="63"/>
    </row>
    <row r="35" spans="6:11" x14ac:dyDescent="0.25">
      <c r="F35" s="64">
        <v>1786068</v>
      </c>
      <c r="G35" s="65">
        <v>2105543</v>
      </c>
      <c r="H35" s="76">
        <v>2408309</v>
      </c>
      <c r="I35" s="67">
        <v>2437524</v>
      </c>
      <c r="J35" s="62" t="s">
        <v>34</v>
      </c>
      <c r="K35" s="63"/>
    </row>
    <row r="36" spans="6:11" x14ac:dyDescent="0.25">
      <c r="F36" s="64">
        <v>77534</v>
      </c>
      <c r="G36" s="65">
        <v>112408</v>
      </c>
      <c r="H36" s="66">
        <v>108895</v>
      </c>
      <c r="I36" s="67">
        <v>265639</v>
      </c>
      <c r="J36" s="68" t="s">
        <v>35</v>
      </c>
      <c r="K36" s="63"/>
    </row>
    <row r="37" spans="6:11" x14ac:dyDescent="0.25">
      <c r="F37" s="64">
        <v>297396</v>
      </c>
      <c r="G37" s="65">
        <v>255869</v>
      </c>
      <c r="H37" s="66">
        <v>342823</v>
      </c>
      <c r="I37" s="67">
        <v>473493</v>
      </c>
      <c r="J37" s="68" t="s">
        <v>36</v>
      </c>
      <c r="K37" s="63"/>
    </row>
    <row r="38" spans="6:11" x14ac:dyDescent="0.25">
      <c r="F38" s="64">
        <v>44215324</v>
      </c>
      <c r="G38" s="65">
        <v>42370680</v>
      </c>
      <c r="H38" s="77">
        <v>43051135</v>
      </c>
      <c r="I38" s="67">
        <v>41340645</v>
      </c>
      <c r="J38" s="62" t="s">
        <v>37</v>
      </c>
      <c r="K38" s="63"/>
    </row>
    <row r="39" spans="6:11" x14ac:dyDescent="0.25">
      <c r="F39" s="64">
        <v>40210756</v>
      </c>
      <c r="G39" s="65">
        <v>39953584</v>
      </c>
      <c r="H39" s="67">
        <v>39764446</v>
      </c>
      <c r="I39" s="67">
        <v>38584174</v>
      </c>
      <c r="J39" s="62" t="s">
        <v>38</v>
      </c>
      <c r="K39" s="63" t="s">
        <v>1</v>
      </c>
    </row>
    <row r="40" spans="6:11" x14ac:dyDescent="0.25">
      <c r="F40" s="64">
        <v>2102722634</v>
      </c>
      <c r="G40" s="65">
        <v>1974088999</v>
      </c>
      <c r="H40" s="67">
        <v>2274017361</v>
      </c>
      <c r="I40" s="67">
        <v>1998920739</v>
      </c>
      <c r="J40" s="68" t="s">
        <v>68</v>
      </c>
      <c r="K40" s="63"/>
    </row>
    <row r="41" spans="6:11" x14ac:dyDescent="0.25">
      <c r="F41" s="61">
        <v>52.292999999999999</v>
      </c>
      <c r="G41" s="62">
        <v>49.41</v>
      </c>
      <c r="H41" s="77">
        <v>57.186999999999998</v>
      </c>
      <c r="I41" s="67">
        <v>51.807000000000002</v>
      </c>
      <c r="J41" s="68" t="s">
        <v>53</v>
      </c>
      <c r="K41" s="63"/>
    </row>
    <row r="42" spans="6:11" x14ac:dyDescent="0.25">
      <c r="F42" s="64"/>
      <c r="G42" s="62"/>
      <c r="H42" s="62"/>
      <c r="I42" s="67"/>
      <c r="J42" s="68" t="s">
        <v>52</v>
      </c>
      <c r="K42" s="63" t="s">
        <v>25</v>
      </c>
    </row>
    <row r="43" spans="6:11" ht="30" x14ac:dyDescent="0.25">
      <c r="F43" s="61"/>
      <c r="G43" s="62"/>
      <c r="H43" s="62"/>
      <c r="I43" s="67"/>
      <c r="J43" s="68" t="s">
        <v>39</v>
      </c>
      <c r="K43" s="63"/>
    </row>
    <row r="44" spans="6:11" x14ac:dyDescent="0.25">
      <c r="F44" s="61"/>
      <c r="G44" s="62"/>
      <c r="H44" s="62"/>
      <c r="I44" s="67"/>
      <c r="J44" s="68" t="s">
        <v>51</v>
      </c>
      <c r="K44" s="63"/>
    </row>
    <row r="45" spans="6:11" x14ac:dyDescent="0.25">
      <c r="F45" s="64">
        <v>374930</v>
      </c>
      <c r="G45" s="65">
        <v>368277</v>
      </c>
      <c r="H45" s="67">
        <v>451718</v>
      </c>
      <c r="I45" s="67">
        <v>739132</v>
      </c>
      <c r="J45" s="68" t="s">
        <v>50</v>
      </c>
      <c r="K45" s="63" t="s">
        <v>29</v>
      </c>
    </row>
    <row r="46" spans="6:11" x14ac:dyDescent="0.25">
      <c r="F46" s="64">
        <v>16970278</v>
      </c>
      <c r="G46" s="65">
        <v>16328609</v>
      </c>
      <c r="H46" s="67">
        <v>21609622</v>
      </c>
      <c r="I46" s="67">
        <v>33943058</v>
      </c>
      <c r="J46" s="68" t="s">
        <v>49</v>
      </c>
      <c r="K46" s="63"/>
    </row>
    <row r="47" spans="6:11" x14ac:dyDescent="0.25">
      <c r="F47" s="61">
        <v>45.262</v>
      </c>
      <c r="G47" s="62">
        <v>44.338000000000001</v>
      </c>
      <c r="H47" s="67">
        <v>47.838999999999999</v>
      </c>
      <c r="I47" s="67">
        <v>45.923000000000002</v>
      </c>
      <c r="J47" s="68" t="s">
        <v>48</v>
      </c>
      <c r="K47" s="63"/>
    </row>
    <row r="48" spans="6:11" x14ac:dyDescent="0.25">
      <c r="F48" s="64">
        <v>2119692912</v>
      </c>
      <c r="G48" s="65">
        <v>1990417608</v>
      </c>
      <c r="H48" s="67">
        <v>2295626983</v>
      </c>
      <c r="I48" s="67">
        <v>2032863797</v>
      </c>
      <c r="J48" s="68" t="s">
        <v>47</v>
      </c>
      <c r="K48" s="63" t="s">
        <v>4</v>
      </c>
    </row>
    <row r="49" spans="6:11" x14ac:dyDescent="0.25">
      <c r="F49" s="64">
        <v>691882270</v>
      </c>
      <c r="G49" s="65">
        <v>62892731</v>
      </c>
      <c r="H49" s="67" t="s">
        <v>65</v>
      </c>
      <c r="I49" s="67">
        <v>45461314</v>
      </c>
      <c r="J49" s="68" t="s">
        <v>46</v>
      </c>
      <c r="K49" s="63"/>
    </row>
    <row r="50" spans="6:11" x14ac:dyDescent="0.25">
      <c r="F50" s="64">
        <v>2967942</v>
      </c>
      <c r="G50" s="65">
        <v>450918900</v>
      </c>
      <c r="H50" s="67"/>
      <c r="I50" s="67">
        <v>1121808000</v>
      </c>
      <c r="J50" s="68" t="s">
        <v>62</v>
      </c>
      <c r="K50" s="63"/>
    </row>
    <row r="51" spans="6:11" x14ac:dyDescent="0.25">
      <c r="F51" s="64"/>
      <c r="G51" s="65">
        <v>6767835</v>
      </c>
      <c r="H51" s="67">
        <v>6111731</v>
      </c>
      <c r="I51" s="67" t="s">
        <v>63</v>
      </c>
      <c r="J51" s="68" t="s">
        <v>45</v>
      </c>
      <c r="K51" s="63"/>
    </row>
    <row r="52" spans="6:11" x14ac:dyDescent="0.25">
      <c r="F52" s="64">
        <v>240975290</v>
      </c>
      <c r="G52" s="65">
        <v>888169759</v>
      </c>
      <c r="H52" s="67">
        <v>651395002</v>
      </c>
      <c r="I52" s="67">
        <v>8596529</v>
      </c>
      <c r="J52" s="68" t="s">
        <v>44</v>
      </c>
      <c r="K52" s="63"/>
    </row>
    <row r="53" spans="6:11" x14ac:dyDescent="0.25">
      <c r="F53" s="64">
        <v>87125846</v>
      </c>
      <c r="G53" s="65">
        <v>142627557</v>
      </c>
      <c r="H53" s="67">
        <v>129436293</v>
      </c>
      <c r="I53" s="67">
        <v>756581239</v>
      </c>
      <c r="J53" s="68" t="s">
        <v>55</v>
      </c>
      <c r="K53" s="63"/>
    </row>
    <row r="54" spans="6:11" x14ac:dyDescent="0.25">
      <c r="F54" s="64">
        <v>175166726</v>
      </c>
      <c r="G54" s="65">
        <v>174572125</v>
      </c>
      <c r="H54" s="67">
        <v>172578942</v>
      </c>
      <c r="I54" s="67">
        <v>134996619</v>
      </c>
      <c r="J54" s="68" t="s">
        <v>64</v>
      </c>
      <c r="K54" s="63"/>
    </row>
    <row r="55" spans="6:11" x14ac:dyDescent="0.25">
      <c r="F55" s="64">
        <v>100000082</v>
      </c>
      <c r="G55" s="65">
        <v>150000080</v>
      </c>
      <c r="H55" s="67">
        <v>50000040</v>
      </c>
      <c r="I55" s="67">
        <v>310000160</v>
      </c>
      <c r="J55" s="68" t="s">
        <v>57</v>
      </c>
      <c r="K55" s="63"/>
    </row>
    <row r="56" spans="6:11" x14ac:dyDescent="0.25">
      <c r="F56" s="64">
        <v>120946401</v>
      </c>
      <c r="G56" s="65">
        <v>78982504</v>
      </c>
      <c r="H56" s="67">
        <v>64767279</v>
      </c>
      <c r="I56" s="67">
        <v>516790247</v>
      </c>
      <c r="J56" s="68" t="s">
        <v>43</v>
      </c>
      <c r="K56" s="63"/>
    </row>
    <row r="57" spans="6:11" x14ac:dyDescent="0.25">
      <c r="F57" s="64"/>
      <c r="G57" s="65">
        <v>3562302</v>
      </c>
      <c r="H57" s="67"/>
      <c r="I57" s="67">
        <v>288644188</v>
      </c>
      <c r="J57" s="68" t="s">
        <v>42</v>
      </c>
      <c r="K57" s="63"/>
    </row>
    <row r="58" spans="6:11" ht="15.75" thickBot="1" x14ac:dyDescent="0.3">
      <c r="F58" s="69">
        <v>700628355</v>
      </c>
      <c r="G58" s="70">
        <v>1066671681</v>
      </c>
      <c r="H58" s="71">
        <v>1108364145</v>
      </c>
      <c r="I58" s="71">
        <v>1639757444</v>
      </c>
      <c r="J58" s="72" t="s">
        <v>41</v>
      </c>
      <c r="K58" s="73"/>
    </row>
    <row r="59" spans="6:11" ht="18.75" x14ac:dyDescent="0.25">
      <c r="F59" s="89">
        <v>2020</v>
      </c>
      <c r="G59" s="90"/>
      <c r="H59" s="90"/>
      <c r="I59" s="90"/>
      <c r="J59" s="90"/>
      <c r="K59" s="91"/>
    </row>
    <row r="60" spans="6:11" x14ac:dyDescent="0.25">
      <c r="F60" s="74" t="s">
        <v>16</v>
      </c>
      <c r="G60" s="75" t="s">
        <v>15</v>
      </c>
      <c r="H60" s="75" t="s">
        <v>14</v>
      </c>
      <c r="I60" s="75" t="s">
        <v>13</v>
      </c>
      <c r="J60" s="62"/>
      <c r="K60" s="63"/>
    </row>
    <row r="61" spans="6:11" x14ac:dyDescent="0.25">
      <c r="F61" s="64">
        <v>38878835</v>
      </c>
      <c r="G61" s="65">
        <v>39421103</v>
      </c>
      <c r="H61" s="76">
        <v>37038461</v>
      </c>
      <c r="I61" s="67">
        <v>42261263</v>
      </c>
      <c r="J61" s="62" t="s">
        <v>32</v>
      </c>
      <c r="K61" s="63" t="s">
        <v>0</v>
      </c>
    </row>
    <row r="62" spans="6:11" x14ac:dyDescent="0.25">
      <c r="F62" s="64"/>
      <c r="G62" s="62"/>
      <c r="H62" s="66"/>
      <c r="I62" s="67"/>
      <c r="J62" s="62" t="s">
        <v>33</v>
      </c>
      <c r="K62" s="63"/>
    </row>
    <row r="63" spans="6:11" x14ac:dyDescent="0.25">
      <c r="F63" s="64">
        <v>2265106</v>
      </c>
      <c r="G63" s="65">
        <v>2381974</v>
      </c>
      <c r="H63" s="76">
        <v>1463539</v>
      </c>
      <c r="I63" s="67">
        <v>2134967</v>
      </c>
      <c r="J63" s="62" t="s">
        <v>34</v>
      </c>
      <c r="K63" s="63"/>
    </row>
    <row r="64" spans="6:11" x14ac:dyDescent="0.25">
      <c r="F64" s="64"/>
      <c r="G64" s="65"/>
      <c r="H64" s="66"/>
      <c r="I64" s="67">
        <v>97614</v>
      </c>
      <c r="J64" s="68" t="s">
        <v>35</v>
      </c>
      <c r="K64" s="63"/>
    </row>
    <row r="65" spans="6:11" x14ac:dyDescent="0.25">
      <c r="F65" s="64"/>
      <c r="G65" s="65"/>
      <c r="H65" s="66"/>
      <c r="I65" s="67">
        <v>0</v>
      </c>
      <c r="J65" s="68" t="s">
        <v>36</v>
      </c>
      <c r="K65" s="63"/>
    </row>
    <row r="66" spans="6:11" x14ac:dyDescent="0.25">
      <c r="F66" s="64">
        <v>41143941</v>
      </c>
      <c r="G66" s="65">
        <v>41803077</v>
      </c>
      <c r="H66" s="77">
        <v>38502000</v>
      </c>
      <c r="I66" s="67">
        <v>44493844</v>
      </c>
      <c r="J66" s="62" t="s">
        <v>37</v>
      </c>
      <c r="K66" s="63"/>
    </row>
    <row r="67" spans="6:11" x14ac:dyDescent="0.25">
      <c r="F67" s="64">
        <v>39147859</v>
      </c>
      <c r="G67" s="65">
        <v>39265779</v>
      </c>
      <c r="H67" s="67">
        <v>37408005</v>
      </c>
      <c r="I67" s="67">
        <v>42323769</v>
      </c>
      <c r="J67" s="62" t="s">
        <v>38</v>
      </c>
      <c r="K67" s="63" t="s">
        <v>1</v>
      </c>
    </row>
    <row r="68" spans="6:11" x14ac:dyDescent="0.25">
      <c r="F68" s="64">
        <v>1272698547</v>
      </c>
      <c r="G68" s="65">
        <v>1243526571</v>
      </c>
      <c r="H68" s="67">
        <v>590349504</v>
      </c>
      <c r="I68" s="67">
        <v>1337267613</v>
      </c>
      <c r="J68" s="68" t="s">
        <v>68</v>
      </c>
      <c r="K68" s="63"/>
    </row>
    <row r="69" spans="6:11" x14ac:dyDescent="0.25">
      <c r="F69" s="61">
        <v>32.51</v>
      </c>
      <c r="G69" s="62">
        <v>31.669</v>
      </c>
      <c r="H69" s="77">
        <v>15.781000000000001</v>
      </c>
      <c r="I69" s="67">
        <v>31.596</v>
      </c>
      <c r="J69" s="68" t="s">
        <v>53</v>
      </c>
      <c r="K69" s="63"/>
    </row>
    <row r="70" spans="6:11" x14ac:dyDescent="0.25">
      <c r="F70" s="78"/>
      <c r="G70" s="68"/>
      <c r="H70" s="68"/>
      <c r="I70" s="68"/>
      <c r="J70" s="68" t="s">
        <v>52</v>
      </c>
      <c r="K70" s="63" t="s">
        <v>25</v>
      </c>
    </row>
    <row r="71" spans="6:11" ht="30" x14ac:dyDescent="0.25">
      <c r="F71" s="78"/>
      <c r="G71" s="68"/>
      <c r="H71" s="68"/>
      <c r="I71" s="68"/>
      <c r="J71" s="68" t="s">
        <v>39</v>
      </c>
      <c r="K71" s="63"/>
    </row>
    <row r="72" spans="6:11" x14ac:dyDescent="0.25">
      <c r="F72" s="78"/>
      <c r="G72" s="68"/>
      <c r="H72" s="68"/>
      <c r="I72" s="68"/>
      <c r="J72" s="68" t="s">
        <v>51</v>
      </c>
      <c r="K72" s="63"/>
    </row>
    <row r="73" spans="6:11" x14ac:dyDescent="0.25">
      <c r="F73" s="64"/>
      <c r="G73" s="65"/>
      <c r="H73" s="67"/>
      <c r="I73" s="67">
        <v>97614</v>
      </c>
      <c r="J73" s="68" t="s">
        <v>50</v>
      </c>
      <c r="K73" s="63" t="s">
        <v>29</v>
      </c>
    </row>
    <row r="74" spans="6:11" x14ac:dyDescent="0.25">
      <c r="F74" s="64"/>
      <c r="G74" s="65"/>
      <c r="H74" s="67"/>
      <c r="I74" s="67">
        <v>4993033</v>
      </c>
      <c r="J74" s="68" t="s">
        <v>49</v>
      </c>
      <c r="K74" s="63"/>
    </row>
    <row r="75" spans="6:11" x14ac:dyDescent="0.25">
      <c r="F75" s="61"/>
      <c r="G75" s="62"/>
      <c r="H75" s="67"/>
      <c r="I75" s="67">
        <v>51.151000000000003</v>
      </c>
      <c r="J75" s="68" t="s">
        <v>48</v>
      </c>
      <c r="K75" s="63"/>
    </row>
    <row r="76" spans="6:11" x14ac:dyDescent="0.25">
      <c r="F76" s="64">
        <v>1272698547</v>
      </c>
      <c r="G76" s="65">
        <v>1243526571</v>
      </c>
      <c r="H76" s="67">
        <v>590349504</v>
      </c>
      <c r="I76" s="67">
        <v>1342260646</v>
      </c>
      <c r="J76" s="68" t="s">
        <v>47</v>
      </c>
      <c r="K76" s="63" t="s">
        <v>4</v>
      </c>
    </row>
    <row r="77" spans="6:11" x14ac:dyDescent="0.25">
      <c r="F77" s="64">
        <v>94329601</v>
      </c>
      <c r="G77" s="65">
        <v>26255300</v>
      </c>
      <c r="H77" s="67" t="s">
        <v>72</v>
      </c>
      <c r="I77" s="67">
        <v>498666605</v>
      </c>
      <c r="J77" s="68" t="s">
        <v>46</v>
      </c>
      <c r="K77" s="63"/>
    </row>
    <row r="78" spans="6:11" x14ac:dyDescent="0.25">
      <c r="F78" s="64"/>
      <c r="G78" s="75"/>
      <c r="H78" s="67">
        <v>415000000</v>
      </c>
      <c r="I78" s="67"/>
      <c r="J78" s="68" t="s">
        <v>62</v>
      </c>
      <c r="K78" s="63"/>
    </row>
    <row r="79" spans="6:11" x14ac:dyDescent="0.25">
      <c r="F79" s="64">
        <v>13189865</v>
      </c>
      <c r="G79" s="65">
        <v>3299533</v>
      </c>
      <c r="H79" s="67" t="s">
        <v>73</v>
      </c>
      <c r="I79" s="67">
        <v>42642351</v>
      </c>
      <c r="J79" s="68" t="s">
        <v>45</v>
      </c>
      <c r="K79" s="63"/>
    </row>
    <row r="80" spans="6:11" x14ac:dyDescent="0.25">
      <c r="F80" s="64">
        <v>411134481</v>
      </c>
      <c r="G80" s="65">
        <v>421495009</v>
      </c>
      <c r="H80" s="67">
        <v>500561442</v>
      </c>
      <c r="I80" s="67">
        <v>427498393</v>
      </c>
      <c r="J80" s="68" t="s">
        <v>44</v>
      </c>
      <c r="K80" s="63"/>
    </row>
    <row r="81" spans="6:11" x14ac:dyDescent="0.25">
      <c r="F81" s="64">
        <v>50002776</v>
      </c>
      <c r="G81" s="65">
        <v>47715717</v>
      </c>
      <c r="H81" s="67">
        <v>70042137</v>
      </c>
      <c r="I81" s="67">
        <v>136731461</v>
      </c>
      <c r="J81" s="68" t="s">
        <v>55</v>
      </c>
      <c r="K81" s="63"/>
    </row>
    <row r="82" spans="6:11" x14ac:dyDescent="0.25">
      <c r="F82" s="64">
        <v>190346076</v>
      </c>
      <c r="G82" s="65">
        <v>191273212</v>
      </c>
      <c r="H82" s="67">
        <v>84890716</v>
      </c>
      <c r="I82" s="67">
        <v>179094807</v>
      </c>
      <c r="J82" s="68" t="s">
        <v>64</v>
      </c>
      <c r="K82" s="63"/>
    </row>
    <row r="83" spans="6:11" x14ac:dyDescent="0.25">
      <c r="F83" s="64"/>
      <c r="G83" s="65"/>
      <c r="H83" s="67"/>
      <c r="I83" s="67">
        <v>60000000</v>
      </c>
      <c r="J83" s="68" t="s">
        <v>57</v>
      </c>
      <c r="K83" s="63"/>
    </row>
    <row r="84" spans="6:11" x14ac:dyDescent="0.25">
      <c r="F84" s="64"/>
      <c r="G84" s="65"/>
      <c r="H84" s="67"/>
      <c r="I84" s="67">
        <v>33970566</v>
      </c>
      <c r="J84" s="68" t="s">
        <v>43</v>
      </c>
      <c r="K84" s="63"/>
    </row>
    <row r="85" spans="6:11" x14ac:dyDescent="0.25">
      <c r="F85" s="64"/>
      <c r="G85" s="65"/>
      <c r="H85" s="67"/>
      <c r="I85" s="67"/>
      <c r="J85" s="68" t="s">
        <v>42</v>
      </c>
      <c r="K85" s="63"/>
    </row>
    <row r="86" spans="6:11" ht="15.75" thickBot="1" x14ac:dyDescent="0.3">
      <c r="F86" s="69">
        <v>513695748</v>
      </c>
      <c r="G86" s="70">
        <v>553487800</v>
      </c>
      <c r="H86" s="71">
        <v>317304491</v>
      </c>
      <c r="I86" s="71">
        <v>960989673</v>
      </c>
      <c r="J86" s="72" t="s">
        <v>41</v>
      </c>
      <c r="K86" s="73"/>
    </row>
    <row r="87" spans="6:11" ht="18.75" x14ac:dyDescent="0.25">
      <c r="F87" s="86">
        <v>2021</v>
      </c>
      <c r="G87" s="87"/>
      <c r="H87" s="87"/>
      <c r="I87" s="87"/>
      <c r="J87" s="87"/>
      <c r="K87" s="88"/>
    </row>
    <row r="88" spans="6:11" x14ac:dyDescent="0.25">
      <c r="F88" s="74" t="s">
        <v>19</v>
      </c>
      <c r="G88" s="75" t="s">
        <v>18</v>
      </c>
      <c r="H88" s="75" t="s">
        <v>69</v>
      </c>
      <c r="I88" s="75" t="s">
        <v>17</v>
      </c>
      <c r="J88" s="62"/>
      <c r="K88" s="63"/>
    </row>
    <row r="89" spans="6:11" x14ac:dyDescent="0.25">
      <c r="F89" s="79">
        <v>37557760</v>
      </c>
      <c r="G89" s="80">
        <v>37641238</v>
      </c>
      <c r="H89" s="80">
        <v>39215239</v>
      </c>
      <c r="I89" s="80">
        <v>38135373</v>
      </c>
      <c r="J89" s="62" t="s">
        <v>32</v>
      </c>
      <c r="K89" s="63" t="s">
        <v>0</v>
      </c>
    </row>
    <row r="90" spans="6:11" x14ac:dyDescent="0.25">
      <c r="F90" s="79"/>
      <c r="G90" s="80"/>
      <c r="H90" s="80"/>
      <c r="I90" s="80"/>
      <c r="J90" s="62" t="s">
        <v>33</v>
      </c>
      <c r="K90" s="63"/>
    </row>
    <row r="91" spans="6:11" x14ac:dyDescent="0.25">
      <c r="F91" s="79">
        <v>2355937</v>
      </c>
      <c r="G91" s="80">
        <v>2351751</v>
      </c>
      <c r="H91" s="80">
        <v>1866179</v>
      </c>
      <c r="I91" s="80">
        <v>1783160</v>
      </c>
      <c r="J91" s="62" t="s">
        <v>34</v>
      </c>
      <c r="K91" s="63"/>
    </row>
    <row r="92" spans="6:11" x14ac:dyDescent="0.25">
      <c r="F92" s="79">
        <v>283162</v>
      </c>
      <c r="G92" s="80">
        <v>217194</v>
      </c>
      <c r="H92" s="80">
        <v>175842</v>
      </c>
      <c r="I92" s="80">
        <v>124238</v>
      </c>
      <c r="J92" s="68" t="s">
        <v>35</v>
      </c>
      <c r="K92" s="63"/>
    </row>
    <row r="93" spans="6:11" x14ac:dyDescent="0.25">
      <c r="F93" s="79">
        <v>315925</v>
      </c>
      <c r="G93" s="80">
        <v>505618</v>
      </c>
      <c r="H93" s="80"/>
      <c r="I93" s="80"/>
      <c r="J93" s="68" t="s">
        <v>36</v>
      </c>
      <c r="K93" s="63"/>
    </row>
    <row r="94" spans="6:11" x14ac:dyDescent="0.25">
      <c r="F94" s="79">
        <v>40512784</v>
      </c>
      <c r="G94" s="80">
        <v>40715801</v>
      </c>
      <c r="H94" s="80">
        <v>41257260</v>
      </c>
      <c r="I94" s="80">
        <v>40042771</v>
      </c>
      <c r="J94" s="62" t="s">
        <v>37</v>
      </c>
      <c r="K94" s="63"/>
    </row>
    <row r="95" spans="6:11" x14ac:dyDescent="0.25">
      <c r="F95" s="79">
        <v>37055975</v>
      </c>
      <c r="G95" s="80">
        <v>38075291</v>
      </c>
      <c r="H95" s="80">
        <v>39425366</v>
      </c>
      <c r="I95" s="80">
        <v>37444522</v>
      </c>
      <c r="J95" s="62" t="s">
        <v>38</v>
      </c>
      <c r="K95" s="63" t="s">
        <v>1</v>
      </c>
    </row>
    <row r="96" spans="6:11" x14ac:dyDescent="0.25">
      <c r="F96" s="79">
        <v>2535749399</v>
      </c>
      <c r="G96" s="80">
        <v>2393733513</v>
      </c>
      <c r="H96" s="80">
        <v>2275079490</v>
      </c>
      <c r="I96" s="80">
        <v>1833324620</v>
      </c>
      <c r="J96" s="68" t="s">
        <v>68</v>
      </c>
      <c r="K96" s="63"/>
    </row>
    <row r="97" spans="6:11" x14ac:dyDescent="0.25">
      <c r="F97" s="79">
        <v>68.430000000000007</v>
      </c>
      <c r="G97" s="80">
        <v>62.868000000000002</v>
      </c>
      <c r="H97" s="80">
        <v>57.706000000000003</v>
      </c>
      <c r="I97" s="80">
        <v>48.960999999999999</v>
      </c>
      <c r="J97" s="68" t="s">
        <v>53</v>
      </c>
      <c r="K97" s="63"/>
    </row>
    <row r="98" spans="6:11" x14ac:dyDescent="0.25">
      <c r="F98" s="79"/>
      <c r="G98" s="80"/>
      <c r="H98" s="80"/>
      <c r="I98" s="80"/>
      <c r="J98" s="68" t="s">
        <v>52</v>
      </c>
      <c r="K98" s="63" t="s">
        <v>25</v>
      </c>
    </row>
    <row r="99" spans="6:11" ht="30" x14ac:dyDescent="0.25">
      <c r="F99" s="79"/>
      <c r="G99" s="80"/>
      <c r="H99" s="80"/>
      <c r="I99" s="80"/>
      <c r="J99" s="68" t="s">
        <v>39</v>
      </c>
      <c r="K99" s="63"/>
    </row>
    <row r="100" spans="6:11" x14ac:dyDescent="0.25">
      <c r="F100" s="79"/>
      <c r="G100" s="80"/>
      <c r="H100" s="80"/>
      <c r="I100" s="80"/>
      <c r="J100" s="68" t="s">
        <v>51</v>
      </c>
      <c r="K100" s="63"/>
    </row>
    <row r="101" spans="6:11" x14ac:dyDescent="0.25">
      <c r="F101" s="79">
        <v>599087</v>
      </c>
      <c r="G101" s="80">
        <v>722812</v>
      </c>
      <c r="H101" s="80">
        <v>175842</v>
      </c>
      <c r="I101" s="80">
        <v>124238</v>
      </c>
      <c r="J101" s="68" t="s">
        <v>50</v>
      </c>
      <c r="K101" s="63" t="s">
        <v>29</v>
      </c>
    </row>
    <row r="102" spans="6:11" x14ac:dyDescent="0.25">
      <c r="F102" s="79">
        <v>33393623</v>
      </c>
      <c r="G102" s="80">
        <v>36028560</v>
      </c>
      <c r="H102" s="80">
        <v>11288944</v>
      </c>
      <c r="I102" s="80">
        <v>7388907</v>
      </c>
      <c r="J102" s="68" t="s">
        <v>49</v>
      </c>
      <c r="K102" s="63"/>
    </row>
    <row r="103" spans="6:11" x14ac:dyDescent="0.25">
      <c r="F103" s="79">
        <v>55.741</v>
      </c>
      <c r="G103" s="80">
        <v>49.844999999999999</v>
      </c>
      <c r="H103" s="80">
        <v>64.198999999999998</v>
      </c>
      <c r="I103" s="80">
        <v>59.473999999999997</v>
      </c>
      <c r="J103" s="68" t="s">
        <v>48</v>
      </c>
      <c r="K103" s="63"/>
    </row>
    <row r="104" spans="6:11" x14ac:dyDescent="0.25">
      <c r="F104" s="79">
        <v>2569143022</v>
      </c>
      <c r="G104" s="80">
        <v>2429762073</v>
      </c>
      <c r="H104" s="80">
        <v>2286368434</v>
      </c>
      <c r="I104" s="80">
        <v>1840713527</v>
      </c>
      <c r="J104" s="68" t="s">
        <v>47</v>
      </c>
      <c r="K104" s="63" t="s">
        <v>4</v>
      </c>
    </row>
    <row r="105" spans="6:11" x14ac:dyDescent="0.25">
      <c r="F105" s="79">
        <v>67493459</v>
      </c>
      <c r="G105" s="80">
        <v>182362542</v>
      </c>
      <c r="H105" s="80">
        <v>47862088</v>
      </c>
      <c r="I105" s="80">
        <v>234389588</v>
      </c>
      <c r="J105" s="68" t="s">
        <v>46</v>
      </c>
      <c r="K105" s="63"/>
    </row>
    <row r="106" spans="6:11" x14ac:dyDescent="0.25">
      <c r="F106" s="79"/>
      <c r="G106" s="80"/>
      <c r="H106" s="80"/>
      <c r="I106" s="80">
        <v>310000000</v>
      </c>
      <c r="J106" s="68" t="s">
        <v>74</v>
      </c>
      <c r="K106" s="63"/>
    </row>
    <row r="107" spans="6:11" x14ac:dyDescent="0.25">
      <c r="F107" s="79">
        <v>119592557</v>
      </c>
      <c r="G107" s="80">
        <v>53742963</v>
      </c>
      <c r="H107" s="80">
        <v>26902353</v>
      </c>
      <c r="I107" s="80">
        <v>24285483</v>
      </c>
      <c r="J107" s="68" t="s">
        <v>45</v>
      </c>
      <c r="K107" s="63"/>
    </row>
    <row r="108" spans="6:11" x14ac:dyDescent="0.25">
      <c r="F108" s="79">
        <v>1025702045</v>
      </c>
      <c r="G108" s="80">
        <v>716814879</v>
      </c>
      <c r="H108" s="80">
        <v>941452738</v>
      </c>
      <c r="I108" s="80">
        <v>456172018</v>
      </c>
      <c r="J108" s="68" t="s">
        <v>44</v>
      </c>
      <c r="K108" s="63"/>
    </row>
    <row r="109" spans="6:11" x14ac:dyDescent="0.25">
      <c r="F109" s="79">
        <v>162349297</v>
      </c>
      <c r="G109" s="80">
        <v>99923207</v>
      </c>
      <c r="H109" s="80">
        <v>119394094</v>
      </c>
      <c r="I109" s="80">
        <v>52745954</v>
      </c>
      <c r="J109" s="68" t="s">
        <v>55</v>
      </c>
      <c r="K109" s="63"/>
    </row>
    <row r="110" spans="6:11" x14ac:dyDescent="0.25">
      <c r="F110" s="79">
        <v>197153659</v>
      </c>
      <c r="G110" s="80">
        <v>218606905</v>
      </c>
      <c r="H110" s="80">
        <v>238932863</v>
      </c>
      <c r="I110" s="80">
        <v>215480909</v>
      </c>
      <c r="J110" s="68" t="s">
        <v>64</v>
      </c>
      <c r="K110" s="63"/>
    </row>
    <row r="111" spans="6:11" x14ac:dyDescent="0.25">
      <c r="F111" s="79"/>
      <c r="G111" s="80"/>
      <c r="H111" s="80"/>
      <c r="I111" s="80"/>
      <c r="J111" s="68" t="s">
        <v>57</v>
      </c>
      <c r="K111" s="63"/>
    </row>
    <row r="112" spans="6:11" x14ac:dyDescent="0.25">
      <c r="F112" s="79">
        <v>37473413</v>
      </c>
      <c r="G112" s="80">
        <v>25043659</v>
      </c>
      <c r="H112" s="80">
        <v>17393892</v>
      </c>
      <c r="I112" s="80">
        <v>14888907</v>
      </c>
      <c r="J112" s="68" t="s">
        <v>43</v>
      </c>
      <c r="K112" s="63"/>
    </row>
    <row r="113" spans="6:11" x14ac:dyDescent="0.25">
      <c r="F113" s="79"/>
      <c r="G113" s="80"/>
      <c r="H113" s="80"/>
      <c r="I113" s="80"/>
      <c r="J113" s="68" t="s">
        <v>42</v>
      </c>
      <c r="K113" s="63"/>
    </row>
    <row r="114" spans="6:11" ht="15.75" thickBot="1" x14ac:dyDescent="0.3">
      <c r="F114" s="81">
        <v>1094365510</v>
      </c>
      <c r="G114" s="82">
        <v>1133267918</v>
      </c>
      <c r="H114" s="82">
        <v>894430406</v>
      </c>
      <c r="I114" s="82">
        <v>842750668</v>
      </c>
      <c r="J114" s="72" t="s">
        <v>41</v>
      </c>
      <c r="K114" s="73"/>
    </row>
    <row r="115" spans="6:11" ht="18.75" x14ac:dyDescent="0.25">
      <c r="F115" s="83">
        <v>2022</v>
      </c>
      <c r="G115" s="84"/>
      <c r="H115" s="84"/>
      <c r="I115" s="84"/>
      <c r="J115" s="84"/>
      <c r="K115" s="85"/>
    </row>
    <row r="116" spans="6:11" x14ac:dyDescent="0.25">
      <c r="F116" s="74" t="s">
        <v>23</v>
      </c>
      <c r="G116" s="75" t="s">
        <v>22</v>
      </c>
      <c r="H116" s="75" t="s">
        <v>21</v>
      </c>
      <c r="I116" s="75" t="s">
        <v>20</v>
      </c>
      <c r="J116" s="62"/>
      <c r="K116" s="63"/>
    </row>
    <row r="117" spans="6:11" x14ac:dyDescent="0.25">
      <c r="F117" s="26">
        <v>35876096</v>
      </c>
      <c r="G117" s="6">
        <v>35977571</v>
      </c>
      <c r="H117" s="76">
        <v>37780025</v>
      </c>
      <c r="I117" s="67" t="s">
        <v>77</v>
      </c>
      <c r="J117" s="62" t="s">
        <v>32</v>
      </c>
      <c r="K117" s="63" t="s">
        <v>0</v>
      </c>
    </row>
    <row r="118" spans="6:11" x14ac:dyDescent="0.25">
      <c r="F118" s="26"/>
      <c r="G118" s="8"/>
      <c r="H118" s="66"/>
      <c r="I118" s="67"/>
      <c r="J118" s="62" t="s">
        <v>33</v>
      </c>
      <c r="K118" s="63"/>
    </row>
    <row r="119" spans="6:11" x14ac:dyDescent="0.25">
      <c r="F119" s="26">
        <v>3914536</v>
      </c>
      <c r="G119" s="6">
        <v>2319088</v>
      </c>
      <c r="H119" s="76">
        <v>2298581</v>
      </c>
      <c r="I119" s="67">
        <v>2226083</v>
      </c>
      <c r="J119" s="62" t="s">
        <v>34</v>
      </c>
      <c r="K119" s="63"/>
    </row>
    <row r="120" spans="6:11" x14ac:dyDescent="0.25">
      <c r="F120" s="26"/>
      <c r="G120" s="6"/>
      <c r="H120" s="66">
        <v>78893</v>
      </c>
      <c r="I120" s="67">
        <v>284601</v>
      </c>
      <c r="J120" s="68" t="s">
        <v>35</v>
      </c>
      <c r="K120" s="63"/>
    </row>
    <row r="121" spans="6:11" x14ac:dyDescent="0.25">
      <c r="F121" s="26">
        <v>384554</v>
      </c>
      <c r="G121" s="6">
        <v>433516</v>
      </c>
      <c r="H121" s="66">
        <v>158582</v>
      </c>
      <c r="I121" s="67">
        <v>124436</v>
      </c>
      <c r="J121" s="68" t="s">
        <v>36</v>
      </c>
      <c r="K121" s="63"/>
    </row>
    <row r="122" spans="6:11" x14ac:dyDescent="0.25">
      <c r="F122" s="26">
        <v>40175186</v>
      </c>
      <c r="G122" s="6">
        <v>38730175</v>
      </c>
      <c r="H122" s="77">
        <v>40316081</v>
      </c>
      <c r="I122" s="67">
        <v>39088710</v>
      </c>
      <c r="J122" s="62" t="s">
        <v>37</v>
      </c>
      <c r="K122" s="63"/>
    </row>
    <row r="123" spans="6:11" x14ac:dyDescent="0.25">
      <c r="F123" s="26">
        <v>34966054</v>
      </c>
      <c r="G123" s="6">
        <v>37147815</v>
      </c>
      <c r="H123" s="67">
        <v>37618577</v>
      </c>
      <c r="I123" s="67">
        <v>34923168</v>
      </c>
      <c r="J123" s="62" t="s">
        <v>38</v>
      </c>
      <c r="K123" s="63" t="s">
        <v>1</v>
      </c>
    </row>
    <row r="124" spans="6:11" x14ac:dyDescent="0.25">
      <c r="F124" s="26">
        <v>2429153973</v>
      </c>
      <c r="G124" s="6">
        <v>3096914127</v>
      </c>
      <c r="H124" s="67">
        <v>3776446251</v>
      </c>
      <c r="I124" s="67">
        <v>3028903497</v>
      </c>
      <c r="J124" s="68" t="s">
        <v>68</v>
      </c>
      <c r="K124" s="63"/>
    </row>
    <row r="125" spans="6:11" x14ac:dyDescent="0.25">
      <c r="F125" s="102">
        <v>69.471999999999994</v>
      </c>
      <c r="G125" s="101">
        <v>83.367000000000004</v>
      </c>
      <c r="H125" s="77">
        <v>100.38800000000001</v>
      </c>
      <c r="I125" s="67">
        <v>86.73</v>
      </c>
      <c r="J125" s="68" t="s">
        <v>53</v>
      </c>
      <c r="K125" s="63"/>
    </row>
    <row r="126" spans="6:11" x14ac:dyDescent="0.25">
      <c r="F126" s="26"/>
      <c r="G126" s="8"/>
      <c r="H126" s="62"/>
      <c r="I126" s="67"/>
      <c r="J126" s="68" t="s">
        <v>52</v>
      </c>
      <c r="K126" s="63" t="s">
        <v>25</v>
      </c>
    </row>
    <row r="127" spans="6:11" ht="30" x14ac:dyDescent="0.25">
      <c r="F127" s="25"/>
      <c r="G127" s="8"/>
      <c r="H127" s="62"/>
      <c r="I127" s="67"/>
      <c r="J127" s="68" t="s">
        <v>39</v>
      </c>
      <c r="K127" s="63"/>
    </row>
    <row r="128" spans="6:11" x14ac:dyDescent="0.25">
      <c r="F128" s="25"/>
      <c r="G128" s="8"/>
      <c r="H128" s="62"/>
      <c r="I128" s="67"/>
      <c r="J128" s="68" t="s">
        <v>51</v>
      </c>
      <c r="K128" s="63"/>
    </row>
    <row r="129" spans="6:11" x14ac:dyDescent="0.25">
      <c r="F129" s="26">
        <v>384554</v>
      </c>
      <c r="G129" s="6">
        <v>435731</v>
      </c>
      <c r="H129" s="67">
        <v>237475</v>
      </c>
      <c r="I129" s="67">
        <v>409037</v>
      </c>
      <c r="J129" s="68" t="s">
        <v>50</v>
      </c>
      <c r="K129" s="63" t="s">
        <v>29</v>
      </c>
    </row>
    <row r="130" spans="6:11" x14ac:dyDescent="0.25">
      <c r="F130" s="26">
        <v>23569580</v>
      </c>
      <c r="G130" s="6">
        <v>19976044</v>
      </c>
      <c r="H130" s="67">
        <v>12844028</v>
      </c>
      <c r="I130" s="67">
        <v>34453394</v>
      </c>
      <c r="J130" s="68" t="s">
        <v>49</v>
      </c>
      <c r="K130" s="63"/>
    </row>
    <row r="131" spans="6:11" x14ac:dyDescent="0.25">
      <c r="F131" s="102">
        <v>61.290999999999997</v>
      </c>
      <c r="G131" s="101">
        <v>45.844999999999999</v>
      </c>
      <c r="H131" s="67">
        <v>54.085999999999999</v>
      </c>
      <c r="I131" s="67">
        <v>84.23</v>
      </c>
      <c r="J131" s="68" t="s">
        <v>48</v>
      </c>
      <c r="K131" s="63"/>
    </row>
    <row r="132" spans="6:11" x14ac:dyDescent="0.25">
      <c r="F132" s="26">
        <v>2452723553</v>
      </c>
      <c r="G132" s="6">
        <v>3116890171</v>
      </c>
      <c r="H132" s="67">
        <v>3789290279</v>
      </c>
      <c r="I132" s="67">
        <v>3063356891</v>
      </c>
      <c r="J132" s="68" t="s">
        <v>47</v>
      </c>
      <c r="K132" s="63" t="s">
        <v>4</v>
      </c>
    </row>
    <row r="133" spans="6:11" x14ac:dyDescent="0.25">
      <c r="F133" s="26">
        <v>41720212</v>
      </c>
      <c r="G133" s="6">
        <v>210212450</v>
      </c>
      <c r="H133" s="67">
        <v>124427774</v>
      </c>
      <c r="I133" s="67">
        <v>175114220</v>
      </c>
      <c r="J133" s="68" t="s">
        <v>46</v>
      </c>
      <c r="K133" s="63"/>
    </row>
    <row r="134" spans="6:11" x14ac:dyDescent="0.25">
      <c r="F134" s="26"/>
      <c r="G134" s="6"/>
      <c r="H134" s="75"/>
      <c r="I134" s="67"/>
      <c r="J134" s="68" t="s">
        <v>62</v>
      </c>
      <c r="K134" s="63"/>
    </row>
    <row r="135" spans="6:11" x14ac:dyDescent="0.25">
      <c r="F135" s="26">
        <v>3079100</v>
      </c>
      <c r="G135" s="6">
        <v>49151324</v>
      </c>
      <c r="H135" s="67">
        <v>49492324</v>
      </c>
      <c r="I135" s="67">
        <v>58300940</v>
      </c>
      <c r="J135" s="68" t="s">
        <v>45</v>
      </c>
      <c r="K135" s="63"/>
    </row>
    <row r="136" spans="6:11" x14ac:dyDescent="0.25">
      <c r="F136" s="26">
        <v>1001321097</v>
      </c>
      <c r="G136" s="6">
        <v>978556593</v>
      </c>
      <c r="H136" s="67">
        <v>1632695597</v>
      </c>
      <c r="I136" s="67">
        <v>1022935075</v>
      </c>
      <c r="J136" s="68" t="s">
        <v>44</v>
      </c>
      <c r="K136" s="63"/>
    </row>
    <row r="137" spans="6:11" x14ac:dyDescent="0.25">
      <c r="F137" s="26">
        <v>149536096</v>
      </c>
      <c r="G137" s="6">
        <v>126335608</v>
      </c>
      <c r="H137" s="67">
        <v>214803023</v>
      </c>
      <c r="I137" s="67">
        <v>127455135</v>
      </c>
      <c r="J137" s="68" t="s">
        <v>55</v>
      </c>
      <c r="K137" s="63"/>
    </row>
    <row r="138" spans="6:11" x14ac:dyDescent="0.25">
      <c r="F138" s="26">
        <v>10000000</v>
      </c>
      <c r="G138" s="6">
        <v>106192385</v>
      </c>
      <c r="H138" s="67">
        <v>36460969</v>
      </c>
      <c r="I138" s="67">
        <v>122165292</v>
      </c>
      <c r="J138" s="68" t="s">
        <v>64</v>
      </c>
      <c r="K138" s="63"/>
    </row>
    <row r="139" spans="6:11" x14ac:dyDescent="0.25">
      <c r="F139" s="26"/>
      <c r="G139" s="6"/>
      <c r="H139" s="67"/>
      <c r="I139" s="67">
        <v>125000000</v>
      </c>
      <c r="J139" s="68" t="s">
        <v>57</v>
      </c>
      <c r="K139" s="63"/>
    </row>
    <row r="140" spans="6:11" x14ac:dyDescent="0.25">
      <c r="F140" s="26">
        <v>139718188</v>
      </c>
      <c r="G140" s="6">
        <v>43353515</v>
      </c>
      <c r="H140" s="67">
        <v>159425317</v>
      </c>
      <c r="I140" s="67">
        <v>88544997</v>
      </c>
      <c r="J140" s="68" t="s">
        <v>43</v>
      </c>
      <c r="K140" s="63"/>
    </row>
    <row r="141" spans="6:11" x14ac:dyDescent="0.25">
      <c r="F141" s="26"/>
      <c r="G141" s="6"/>
      <c r="H141" s="67"/>
      <c r="I141" s="67"/>
      <c r="J141" s="68" t="s">
        <v>42</v>
      </c>
      <c r="K141" s="63"/>
    </row>
    <row r="142" spans="6:11" ht="15.75" thickBot="1" x14ac:dyDescent="0.3">
      <c r="F142" s="28">
        <v>1190789284</v>
      </c>
      <c r="G142" s="10">
        <v>1603088296</v>
      </c>
      <c r="H142" s="71">
        <v>1571985275</v>
      </c>
      <c r="I142" s="71">
        <v>1343841232</v>
      </c>
      <c r="J142" s="72" t="s">
        <v>41</v>
      </c>
      <c r="K142" s="73"/>
    </row>
  </sheetData>
  <mergeCells count="5">
    <mergeCell ref="F115:K115"/>
    <mergeCell ref="F87:K87"/>
    <mergeCell ref="F59:K59"/>
    <mergeCell ref="F31:K31"/>
    <mergeCell ref="F4:K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workbookViewId="0">
      <selection activeCell="D7" sqref="D7"/>
    </sheetView>
  </sheetViews>
  <sheetFormatPr defaultRowHeight="15" x14ac:dyDescent="0.25"/>
  <cols>
    <col min="1" max="1" width="18.7109375" customWidth="1"/>
    <col min="2" max="2" width="10.85546875" customWidth="1"/>
    <col min="3" max="3" width="11.28515625" customWidth="1"/>
    <col min="4" max="4" width="11.140625" customWidth="1"/>
    <col min="5" max="5" width="12.140625" customWidth="1"/>
  </cols>
  <sheetData>
    <row r="3" spans="1:5" x14ac:dyDescent="0.25">
      <c r="A3" s="42" t="s">
        <v>145</v>
      </c>
      <c r="B3" t="s">
        <v>166</v>
      </c>
      <c r="C3" t="s">
        <v>167</v>
      </c>
      <c r="D3" t="s">
        <v>168</v>
      </c>
      <c r="E3" t="s">
        <v>169</v>
      </c>
    </row>
    <row r="4" spans="1:5" x14ac:dyDescent="0.25">
      <c r="A4" s="43">
        <v>2018</v>
      </c>
      <c r="B4" s="46">
        <v>2312.2982240000001</v>
      </c>
      <c r="C4" s="46">
        <v>3148.7184610000004</v>
      </c>
      <c r="D4" s="46">
        <v>3551.1831579999998</v>
      </c>
      <c r="E4" s="46">
        <v>3246.2882820000004</v>
      </c>
    </row>
    <row r="5" spans="1:5" x14ac:dyDescent="0.25">
      <c r="A5" s="45" t="s">
        <v>171</v>
      </c>
      <c r="B5" s="46">
        <v>648.58944299999996</v>
      </c>
      <c r="C5" s="46">
        <v>1309.8999060000001</v>
      </c>
      <c r="D5" s="46">
        <v>1288.7733740000001</v>
      </c>
      <c r="E5" s="46">
        <v>1096.478527</v>
      </c>
    </row>
    <row r="6" spans="1:5" x14ac:dyDescent="0.25">
      <c r="A6" s="45" t="s">
        <v>170</v>
      </c>
      <c r="B6" s="46">
        <v>1663.708781</v>
      </c>
      <c r="C6" s="46">
        <v>1838.8185550000001</v>
      </c>
      <c r="D6" s="46">
        <v>2262.4097839999999</v>
      </c>
      <c r="E6" s="46">
        <v>2149.8097550000002</v>
      </c>
    </row>
    <row r="7" spans="1:5" x14ac:dyDescent="0.25">
      <c r="A7" s="43">
        <v>2019</v>
      </c>
      <c r="B7" s="46">
        <v>3672.6212409999998</v>
      </c>
      <c r="C7" s="46">
        <v>3403.9911280000001</v>
      </c>
      <c r="D7" s="46">
        <v>3057.089289</v>
      </c>
      <c r="E7" s="46">
        <v>2820.3212670000003</v>
      </c>
    </row>
    <row r="8" spans="1:5" x14ac:dyDescent="0.25">
      <c r="A8" s="45" t="s">
        <v>171</v>
      </c>
      <c r="B8" s="46">
        <v>1639.7574440000001</v>
      </c>
      <c r="C8" s="46">
        <v>1108.364145</v>
      </c>
      <c r="D8" s="46">
        <v>1066.671681</v>
      </c>
      <c r="E8" s="46">
        <v>700.62835500000006</v>
      </c>
    </row>
    <row r="9" spans="1:5" x14ac:dyDescent="0.25">
      <c r="A9" s="45" t="s">
        <v>170</v>
      </c>
      <c r="B9" s="46">
        <v>2032.863797</v>
      </c>
      <c r="C9" s="46">
        <v>2295.6269830000001</v>
      </c>
      <c r="D9" s="46">
        <v>1990.417608</v>
      </c>
      <c r="E9" s="46">
        <v>2119.692912</v>
      </c>
    </row>
    <row r="10" spans="1:5" x14ac:dyDescent="0.25">
      <c r="A10" s="43">
        <v>2020</v>
      </c>
      <c r="B10" s="46">
        <v>2303.2503189999998</v>
      </c>
      <c r="C10" s="46">
        <v>907.65399500000001</v>
      </c>
      <c r="D10" s="46">
        <v>1797.0143710000002</v>
      </c>
      <c r="E10" s="46">
        <v>1786.3942950000001</v>
      </c>
    </row>
    <row r="11" spans="1:5" x14ac:dyDescent="0.25">
      <c r="A11" s="45" t="s">
        <v>171</v>
      </c>
      <c r="B11" s="46">
        <v>960.98967300000004</v>
      </c>
      <c r="C11" s="46">
        <v>317.30449099999998</v>
      </c>
      <c r="D11" s="46">
        <v>553.48779999999999</v>
      </c>
      <c r="E11" s="46">
        <v>513.69574799999998</v>
      </c>
    </row>
    <row r="12" spans="1:5" x14ac:dyDescent="0.25">
      <c r="A12" s="45" t="s">
        <v>170</v>
      </c>
      <c r="B12" s="46">
        <v>1342.260646</v>
      </c>
      <c r="C12" s="46">
        <v>590.34950400000002</v>
      </c>
      <c r="D12" s="46">
        <v>1243.5265710000001</v>
      </c>
      <c r="E12" s="46">
        <v>1272.698547</v>
      </c>
    </row>
    <row r="13" spans="1:5" x14ac:dyDescent="0.25">
      <c r="A13" s="43">
        <v>2021</v>
      </c>
      <c r="B13" s="46">
        <v>2683.464195</v>
      </c>
      <c r="C13" s="46">
        <v>3180.7988399999999</v>
      </c>
      <c r="D13" s="46">
        <v>3563.0299909999999</v>
      </c>
      <c r="E13" s="46">
        <v>3663.5085320000003</v>
      </c>
    </row>
    <row r="14" spans="1:5" x14ac:dyDescent="0.25">
      <c r="A14" s="45" t="s">
        <v>171</v>
      </c>
      <c r="B14" s="46">
        <v>842.75066800000002</v>
      </c>
      <c r="C14" s="46">
        <v>894.43040599999995</v>
      </c>
      <c r="D14" s="46">
        <v>1133.267918</v>
      </c>
      <c r="E14" s="46">
        <v>1094.3655100000001</v>
      </c>
    </row>
    <row r="15" spans="1:5" x14ac:dyDescent="0.25">
      <c r="A15" s="45" t="s">
        <v>170</v>
      </c>
      <c r="B15" s="46">
        <v>1840.7135270000001</v>
      </c>
      <c r="C15" s="46">
        <v>2286.368434</v>
      </c>
      <c r="D15" s="46">
        <v>2429.7620729999999</v>
      </c>
      <c r="E15" s="46">
        <v>2569.1430220000002</v>
      </c>
    </row>
    <row r="16" spans="1:5" x14ac:dyDescent="0.25">
      <c r="A16" s="43">
        <v>2022</v>
      </c>
      <c r="B16" s="46">
        <v>4407.1981230000001</v>
      </c>
      <c r="C16" s="46">
        <v>5361.2755539999998</v>
      </c>
      <c r="D16" s="46"/>
      <c r="E16" s="46"/>
    </row>
    <row r="17" spans="1:5" x14ac:dyDescent="0.25">
      <c r="A17" s="45" t="s">
        <v>171</v>
      </c>
      <c r="B17" s="46">
        <v>1343.841232</v>
      </c>
      <c r="C17" s="46">
        <v>1571.985275</v>
      </c>
      <c r="D17" s="46"/>
      <c r="E17" s="46"/>
    </row>
    <row r="18" spans="1:5" x14ac:dyDescent="0.25">
      <c r="A18" s="45" t="s">
        <v>170</v>
      </c>
      <c r="B18" s="46">
        <v>3063.3568909999999</v>
      </c>
      <c r="C18" s="46">
        <v>3789.2902789999998</v>
      </c>
      <c r="D18" s="46"/>
      <c r="E18" s="46"/>
    </row>
    <row r="19" spans="1:5" x14ac:dyDescent="0.25">
      <c r="A19" s="43" t="s">
        <v>146</v>
      </c>
      <c r="B19" s="46">
        <v>15378.832102</v>
      </c>
      <c r="C19" s="46">
        <v>16002.437978000002</v>
      </c>
      <c r="D19" s="46">
        <v>11968.316808999998</v>
      </c>
      <c r="E19" s="46">
        <v>11516.512376000001</v>
      </c>
    </row>
    <row r="30" spans="1:5" ht="12" customHeight="1" x14ac:dyDescent="0.25"/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3:O38"/>
  <sheetViews>
    <sheetView workbookViewId="0">
      <selection activeCell="N36" sqref="N36"/>
    </sheetView>
  </sheetViews>
  <sheetFormatPr defaultRowHeight="15" x14ac:dyDescent="0.25"/>
  <cols>
    <col min="5" max="7" width="15.42578125" bestFit="1" customWidth="1"/>
    <col min="8" max="8" width="18.85546875" customWidth="1"/>
    <col min="9" max="9" width="17" customWidth="1"/>
    <col min="13" max="13" width="11" bestFit="1" customWidth="1"/>
    <col min="15" max="15" width="10" bestFit="1" customWidth="1"/>
    <col min="16" max="16" width="86" bestFit="1" customWidth="1"/>
  </cols>
  <sheetData>
    <row r="3" spans="6:11" x14ac:dyDescent="0.25">
      <c r="F3" t="s">
        <v>151</v>
      </c>
      <c r="G3" t="s">
        <v>150</v>
      </c>
      <c r="H3" t="s">
        <v>148</v>
      </c>
      <c r="I3" t="s">
        <v>149</v>
      </c>
      <c r="J3" t="s">
        <v>172</v>
      </c>
      <c r="K3" t="s">
        <v>143</v>
      </c>
    </row>
    <row r="4" spans="6:11" x14ac:dyDescent="0.25">
      <c r="F4" s="46">
        <v>2149.8097550000002</v>
      </c>
      <c r="G4" s="46">
        <v>2262.4097839999999</v>
      </c>
      <c r="H4" s="46">
        <v>1838.8185550000001</v>
      </c>
      <c r="I4" s="46">
        <v>1663.708781</v>
      </c>
      <c r="J4" t="s">
        <v>170</v>
      </c>
      <c r="K4">
        <v>2018</v>
      </c>
    </row>
    <row r="5" spans="6:11" x14ac:dyDescent="0.25">
      <c r="F5" s="46">
        <v>2119.692912</v>
      </c>
      <c r="G5" s="46">
        <v>1990.417608</v>
      </c>
      <c r="H5" s="46">
        <v>2295.6269830000001</v>
      </c>
      <c r="I5" s="46">
        <v>2032.863797</v>
      </c>
      <c r="J5" t="s">
        <v>170</v>
      </c>
      <c r="K5">
        <v>2019</v>
      </c>
    </row>
    <row r="6" spans="6:11" x14ac:dyDescent="0.25">
      <c r="F6" s="46">
        <v>1272.698547</v>
      </c>
      <c r="G6" s="46">
        <v>1243.5265710000001</v>
      </c>
      <c r="H6" s="46">
        <v>590.34950400000002</v>
      </c>
      <c r="I6" s="46">
        <v>1342.260646</v>
      </c>
      <c r="J6" t="s">
        <v>170</v>
      </c>
      <c r="K6">
        <v>2020</v>
      </c>
    </row>
    <row r="7" spans="6:11" x14ac:dyDescent="0.25">
      <c r="F7" s="46">
        <v>2569.1430220000002</v>
      </c>
      <c r="G7" s="46">
        <v>2429.7620729999999</v>
      </c>
      <c r="H7" s="46">
        <v>2286.368434</v>
      </c>
      <c r="I7" s="46">
        <v>1840.7135270000001</v>
      </c>
      <c r="J7" t="s">
        <v>170</v>
      </c>
      <c r="K7">
        <v>2021</v>
      </c>
    </row>
    <row r="8" spans="6:11" x14ac:dyDescent="0.25">
      <c r="F8" s="46"/>
      <c r="G8" s="46"/>
      <c r="H8" s="46">
        <v>3789.2902789999998</v>
      </c>
      <c r="I8" s="46">
        <v>3063.3568909999999</v>
      </c>
      <c r="J8" t="s">
        <v>170</v>
      </c>
      <c r="K8">
        <v>2022</v>
      </c>
    </row>
    <row r="9" spans="6:11" x14ac:dyDescent="0.25">
      <c r="F9" s="46">
        <v>1096.478527</v>
      </c>
      <c r="G9" s="46">
        <v>1288.7733740000001</v>
      </c>
      <c r="H9" s="46">
        <v>1309.8999060000001</v>
      </c>
      <c r="I9" s="46">
        <v>648.58944299999996</v>
      </c>
      <c r="J9" t="s">
        <v>171</v>
      </c>
      <c r="K9">
        <v>2018</v>
      </c>
    </row>
    <row r="10" spans="6:11" x14ac:dyDescent="0.25">
      <c r="F10" s="46">
        <v>700.62835500000006</v>
      </c>
      <c r="G10" s="46">
        <v>1066.671681</v>
      </c>
      <c r="H10" s="46">
        <v>1108.364145</v>
      </c>
      <c r="I10" s="46">
        <v>1639.7574440000001</v>
      </c>
      <c r="J10" t="s">
        <v>171</v>
      </c>
      <c r="K10">
        <v>2019</v>
      </c>
    </row>
    <row r="11" spans="6:11" x14ac:dyDescent="0.25">
      <c r="F11" s="46">
        <v>513.69574799999998</v>
      </c>
      <c r="G11" s="46">
        <v>553.48779999999999</v>
      </c>
      <c r="H11" s="46">
        <v>317.30449099999998</v>
      </c>
      <c r="I11" s="46">
        <v>960.98967300000004</v>
      </c>
      <c r="J11" t="s">
        <v>171</v>
      </c>
      <c r="K11">
        <v>2020</v>
      </c>
    </row>
    <row r="12" spans="6:11" x14ac:dyDescent="0.25">
      <c r="F12" s="46">
        <v>1094.3655100000001</v>
      </c>
      <c r="G12" s="46">
        <v>1133.267918</v>
      </c>
      <c r="H12" s="46">
        <v>894.43040599999995</v>
      </c>
      <c r="I12" s="46">
        <v>842.75066800000002</v>
      </c>
      <c r="J12" t="s">
        <v>171</v>
      </c>
      <c r="K12">
        <v>2021</v>
      </c>
    </row>
    <row r="13" spans="6:11" x14ac:dyDescent="0.25">
      <c r="F13" s="46"/>
      <c r="G13" s="46"/>
      <c r="H13" s="46">
        <v>1571.985275</v>
      </c>
      <c r="I13" s="46">
        <v>1343.841232</v>
      </c>
      <c r="J13" t="s">
        <v>171</v>
      </c>
      <c r="K13">
        <v>2022</v>
      </c>
    </row>
    <row r="22" spans="5:12" x14ac:dyDescent="0.25">
      <c r="E22" t="s">
        <v>151</v>
      </c>
      <c r="F22" t="s">
        <v>150</v>
      </c>
      <c r="G22" t="s">
        <v>148</v>
      </c>
      <c r="H22" t="s">
        <v>149</v>
      </c>
      <c r="I22" t="s">
        <v>172</v>
      </c>
      <c r="J22" t="s">
        <v>143</v>
      </c>
    </row>
    <row r="23" spans="5:12" x14ac:dyDescent="0.25">
      <c r="E23" s="41">
        <f>2149809755/1000000</f>
        <v>2149.8097550000002</v>
      </c>
      <c r="F23" s="41">
        <f>2262409784/1000000</f>
        <v>2262.4097839999999</v>
      </c>
      <c r="G23" s="41">
        <f>1838818555/1000000</f>
        <v>1838.8185550000001</v>
      </c>
      <c r="H23" s="41">
        <f>1663708781/1000000</f>
        <v>1663.708781</v>
      </c>
      <c r="I23" t="s">
        <v>170</v>
      </c>
      <c r="J23" s="60">
        <v>2018</v>
      </c>
      <c r="L23" s="41">
        <v>2018</v>
      </c>
    </row>
    <row r="24" spans="5:12" x14ac:dyDescent="0.25">
      <c r="E24" s="41">
        <f>2119692912/1000000</f>
        <v>2119.692912</v>
      </c>
      <c r="F24" s="41">
        <f>1990417608/1000000</f>
        <v>1990.417608</v>
      </c>
      <c r="G24" s="41">
        <f>2295626983/1000000</f>
        <v>2295.6269830000001</v>
      </c>
      <c r="H24" s="41">
        <f>2032863797/1000000</f>
        <v>2032.863797</v>
      </c>
      <c r="I24" t="s">
        <v>170</v>
      </c>
      <c r="J24" s="60">
        <v>2019</v>
      </c>
    </row>
    <row r="25" spans="5:12" x14ac:dyDescent="0.25">
      <c r="E25" s="41">
        <f>1272698547/1000000</f>
        <v>1272.698547</v>
      </c>
      <c r="F25" s="41">
        <f>1243526571/1000000</f>
        <v>1243.5265710000001</v>
      </c>
      <c r="G25" s="41">
        <f>590349504/1000000</f>
        <v>590.34950400000002</v>
      </c>
      <c r="H25" s="41">
        <f>1342260646/1000000</f>
        <v>1342.260646</v>
      </c>
      <c r="I25" t="s">
        <v>170</v>
      </c>
      <c r="J25" s="60">
        <v>2020</v>
      </c>
    </row>
    <row r="26" spans="5:12" x14ac:dyDescent="0.25">
      <c r="E26" s="41">
        <f>2569143022/1000000</f>
        <v>2569.1430220000002</v>
      </c>
      <c r="F26" s="41">
        <f>2429762073/1000000</f>
        <v>2429.7620729999999</v>
      </c>
      <c r="G26" s="41">
        <f>2286368434/1000000</f>
        <v>2286.368434</v>
      </c>
      <c r="H26" s="41">
        <f>1840713527/1000000</f>
        <v>1840.7135270000001</v>
      </c>
      <c r="I26" t="s">
        <v>170</v>
      </c>
      <c r="J26" s="60">
        <v>2021</v>
      </c>
    </row>
    <row r="27" spans="5:12" x14ac:dyDescent="0.25">
      <c r="E27" s="41"/>
      <c r="F27" s="41"/>
      <c r="G27" s="41">
        <f>3789290279/1000000</f>
        <v>3789.2902789999998</v>
      </c>
      <c r="H27" s="41">
        <f>3063356891/1000000</f>
        <v>3063.3568909999999</v>
      </c>
      <c r="I27" t="s">
        <v>170</v>
      </c>
      <c r="J27" s="60">
        <v>2022</v>
      </c>
    </row>
    <row r="28" spans="5:12" x14ac:dyDescent="0.25">
      <c r="E28" s="41">
        <f>1096478527/1000000</f>
        <v>1096.478527</v>
      </c>
      <c r="F28" s="41">
        <f>1288773374/1000000</f>
        <v>1288.7733740000001</v>
      </c>
      <c r="G28" s="41">
        <f>1309899906/1000000</f>
        <v>1309.8999060000001</v>
      </c>
      <c r="H28" s="41">
        <f>648589443/1000000</f>
        <v>648.58944299999996</v>
      </c>
      <c r="I28" t="s">
        <v>171</v>
      </c>
      <c r="J28" s="60">
        <v>2018</v>
      </c>
    </row>
    <row r="29" spans="5:12" x14ac:dyDescent="0.25">
      <c r="E29" s="41">
        <f>700628355/1000000</f>
        <v>700.62835500000006</v>
      </c>
      <c r="F29" s="41">
        <f>1066671681/1000000</f>
        <v>1066.671681</v>
      </c>
      <c r="G29" s="41">
        <f>1108364145/1000000</f>
        <v>1108.364145</v>
      </c>
      <c r="H29" s="41">
        <f>1639757444/1000000</f>
        <v>1639.7574440000001</v>
      </c>
      <c r="I29" t="s">
        <v>171</v>
      </c>
      <c r="J29" s="60">
        <v>2019</v>
      </c>
    </row>
    <row r="30" spans="5:12" x14ac:dyDescent="0.25">
      <c r="E30" s="41">
        <f>513695748/1000000</f>
        <v>513.69574799999998</v>
      </c>
      <c r="F30" s="41">
        <f>553487800/1000000</f>
        <v>553.48779999999999</v>
      </c>
      <c r="G30" s="41">
        <f>317304491/1000000</f>
        <v>317.30449099999998</v>
      </c>
      <c r="H30" s="41">
        <f>960989673/1000000</f>
        <v>960.98967300000004</v>
      </c>
      <c r="I30" t="s">
        <v>171</v>
      </c>
      <c r="J30" s="60">
        <v>2020</v>
      </c>
    </row>
    <row r="31" spans="5:12" x14ac:dyDescent="0.25">
      <c r="E31" s="41">
        <f>1094365510/1000000</f>
        <v>1094.3655100000001</v>
      </c>
      <c r="F31" s="41">
        <f>1133267918/1000000</f>
        <v>1133.267918</v>
      </c>
      <c r="G31" s="41">
        <f>894430406/1000000</f>
        <v>894.43040599999995</v>
      </c>
      <c r="H31" s="41">
        <f>842750668/1000000</f>
        <v>842.75066800000002</v>
      </c>
      <c r="I31" t="s">
        <v>171</v>
      </c>
      <c r="J31" s="60">
        <v>2021</v>
      </c>
    </row>
    <row r="32" spans="5:12" x14ac:dyDescent="0.25">
      <c r="E32" s="41"/>
      <c r="F32" s="41"/>
      <c r="G32" s="41">
        <f>1571985275/1000000</f>
        <v>1571.985275</v>
      </c>
      <c r="H32" s="41">
        <f>1343841232/1000000</f>
        <v>1343.841232</v>
      </c>
      <c r="I32" t="s">
        <v>171</v>
      </c>
      <c r="J32" s="60">
        <v>2022</v>
      </c>
    </row>
    <row r="35" spans="5:15" x14ac:dyDescent="0.25">
      <c r="N35" t="s">
        <v>47</v>
      </c>
      <c r="O35" t="s">
        <v>2</v>
      </c>
    </row>
    <row r="36" spans="5:15" x14ac:dyDescent="0.25">
      <c r="E36" s="41"/>
      <c r="F36" s="41"/>
      <c r="G36" s="41"/>
      <c r="H36" s="41"/>
      <c r="N36" t="s">
        <v>41</v>
      </c>
      <c r="O36" t="s">
        <v>3</v>
      </c>
    </row>
    <row r="37" spans="5:15" x14ac:dyDescent="0.25">
      <c r="E37" s="41"/>
      <c r="F37" s="41"/>
      <c r="G37" s="41"/>
      <c r="H37" s="41"/>
    </row>
    <row r="38" spans="5:15" x14ac:dyDescent="0.25">
      <c r="E38" s="41"/>
      <c r="F38" s="41"/>
      <c r="G38" s="41"/>
      <c r="H38" s="4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I39" sqref="I39"/>
    </sheetView>
  </sheetViews>
  <sheetFormatPr defaultRowHeight="15" x14ac:dyDescent="0.25"/>
  <cols>
    <col min="1" max="1" width="34.7109375" customWidth="1"/>
    <col min="2" max="2" width="10.85546875" customWidth="1"/>
    <col min="3" max="3" width="11.28515625" customWidth="1"/>
    <col min="4" max="4" width="11.140625" customWidth="1"/>
    <col min="5" max="5" width="12.140625" customWidth="1"/>
    <col min="6" max="6" width="20" bestFit="1" customWidth="1"/>
  </cols>
  <sheetData>
    <row r="3" spans="1:5" x14ac:dyDescent="0.25">
      <c r="A3" s="42" t="s">
        <v>145</v>
      </c>
      <c r="B3" t="s">
        <v>166</v>
      </c>
      <c r="C3" t="s">
        <v>167</v>
      </c>
      <c r="D3" t="s">
        <v>168</v>
      </c>
      <c r="E3" t="s">
        <v>169</v>
      </c>
    </row>
    <row r="4" spans="1:5" x14ac:dyDescent="0.25">
      <c r="A4" s="43">
        <v>2018</v>
      </c>
      <c r="B4" s="46">
        <v>30.503447000000001</v>
      </c>
      <c r="C4" s="46">
        <v>31.426144000000001</v>
      </c>
      <c r="D4" s="46">
        <v>35.751432000000001</v>
      </c>
      <c r="E4" s="46">
        <v>40.960332999999999</v>
      </c>
    </row>
    <row r="5" spans="1:5" x14ac:dyDescent="0.25">
      <c r="A5" s="45" t="s">
        <v>37</v>
      </c>
      <c r="B5" s="46">
        <v>30.503447000000001</v>
      </c>
      <c r="C5" s="46">
        <v>31.426144000000001</v>
      </c>
      <c r="D5" s="46">
        <v>35.751432000000001</v>
      </c>
      <c r="E5" s="46">
        <v>40.960332999999999</v>
      </c>
    </row>
    <row r="6" spans="1:5" x14ac:dyDescent="0.25">
      <c r="A6" s="43">
        <v>2019</v>
      </c>
      <c r="B6" s="46">
        <v>41.340645000000002</v>
      </c>
      <c r="C6" s="46">
        <v>43.051135000000002</v>
      </c>
      <c r="D6" s="46">
        <v>42.37068</v>
      </c>
      <c r="E6" s="46">
        <v>44.215324000000003</v>
      </c>
    </row>
    <row r="7" spans="1:5" x14ac:dyDescent="0.25">
      <c r="A7" s="45" t="s">
        <v>37</v>
      </c>
      <c r="B7" s="46">
        <v>41.340645000000002</v>
      </c>
      <c r="C7" s="46">
        <v>43.051135000000002</v>
      </c>
      <c r="D7" s="46">
        <v>42.37068</v>
      </c>
      <c r="E7" s="46">
        <v>44.215324000000003</v>
      </c>
    </row>
    <row r="8" spans="1:5" x14ac:dyDescent="0.25">
      <c r="A8" s="43">
        <v>2020</v>
      </c>
      <c r="B8" s="46">
        <v>44.493844000000003</v>
      </c>
      <c r="C8" s="46">
        <v>38.502000000000002</v>
      </c>
      <c r="D8" s="46">
        <v>41.803077000000002</v>
      </c>
      <c r="E8" s="46">
        <v>41.143940999999998</v>
      </c>
    </row>
    <row r="9" spans="1:5" x14ac:dyDescent="0.25">
      <c r="A9" s="45" t="s">
        <v>37</v>
      </c>
      <c r="B9" s="46">
        <v>44.493844000000003</v>
      </c>
      <c r="C9" s="46">
        <v>38.502000000000002</v>
      </c>
      <c r="D9" s="46">
        <v>41.803077000000002</v>
      </c>
      <c r="E9" s="46">
        <v>41.143940999999998</v>
      </c>
    </row>
    <row r="10" spans="1:5" x14ac:dyDescent="0.25">
      <c r="A10" s="43">
        <v>2021</v>
      </c>
      <c r="B10" s="46">
        <v>40.042771000000002</v>
      </c>
      <c r="C10" s="46">
        <v>41.257260000000002</v>
      </c>
      <c r="D10" s="46">
        <v>40.715800999999999</v>
      </c>
      <c r="E10" s="46">
        <v>40.512784000000003</v>
      </c>
    </row>
    <row r="11" spans="1:5" x14ac:dyDescent="0.25">
      <c r="A11" s="45" t="s">
        <v>37</v>
      </c>
      <c r="B11" s="46">
        <v>40.042771000000002</v>
      </c>
      <c r="C11" s="46">
        <v>41.257260000000002</v>
      </c>
      <c r="D11" s="46">
        <v>40.715800999999999</v>
      </c>
      <c r="E11" s="46">
        <v>40.512784000000003</v>
      </c>
    </row>
    <row r="12" spans="1:5" x14ac:dyDescent="0.25">
      <c r="A12" s="43">
        <v>2022</v>
      </c>
      <c r="B12" s="46">
        <v>39.088709999999999</v>
      </c>
      <c r="C12" s="46">
        <v>40.316080999999997</v>
      </c>
      <c r="D12" s="46"/>
      <c r="E12" s="46"/>
    </row>
    <row r="13" spans="1:5" x14ac:dyDescent="0.25">
      <c r="A13" s="45" t="s">
        <v>37</v>
      </c>
      <c r="B13" s="46">
        <v>39.088709999999999</v>
      </c>
      <c r="C13" s="46">
        <v>40.316080999999997</v>
      </c>
      <c r="D13" s="46"/>
      <c r="E13" s="46"/>
    </row>
    <row r="14" spans="1:5" x14ac:dyDescent="0.25">
      <c r="A14" s="43" t="s">
        <v>146</v>
      </c>
      <c r="B14" s="46">
        <v>195.46941700000002</v>
      </c>
      <c r="C14" s="46">
        <v>194.55262000000002</v>
      </c>
      <c r="D14" s="46">
        <v>160.64098999999999</v>
      </c>
      <c r="E14" s="46">
        <v>166.832382</v>
      </c>
    </row>
  </sheetData>
  <pageMargins left="0.7" right="0.7" top="0.75" bottom="0.75" header="0.3" footer="0.3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Q24"/>
  <sheetViews>
    <sheetView workbookViewId="0">
      <selection activeCell="I6" sqref="I6:L6"/>
    </sheetView>
  </sheetViews>
  <sheetFormatPr defaultRowHeight="15" x14ac:dyDescent="0.25"/>
  <cols>
    <col min="8" max="8" width="9.5703125" customWidth="1"/>
    <col min="9" max="10" width="12.7109375" bestFit="1" customWidth="1"/>
    <col min="11" max="12" width="15.42578125" bestFit="1" customWidth="1"/>
    <col min="13" max="13" width="31" bestFit="1" customWidth="1"/>
    <col min="16" max="16" width="18.5703125" customWidth="1"/>
  </cols>
  <sheetData>
    <row r="6" spans="9:14" x14ac:dyDescent="0.25">
      <c r="I6" t="s">
        <v>151</v>
      </c>
      <c r="J6" t="s">
        <v>150</v>
      </c>
      <c r="K6" t="s">
        <v>148</v>
      </c>
      <c r="L6" t="s">
        <v>149</v>
      </c>
      <c r="M6" t="s">
        <v>37</v>
      </c>
      <c r="N6" t="s">
        <v>165</v>
      </c>
    </row>
    <row r="7" spans="9:14" x14ac:dyDescent="0.25">
      <c r="I7" s="41">
        <f>40960333/1000000</f>
        <v>40.960332999999999</v>
      </c>
      <c r="J7" s="41">
        <f>35751432/1000000</f>
        <v>35.751432000000001</v>
      </c>
      <c r="K7" s="41">
        <f>31426144/1000000</f>
        <v>31.426144000000001</v>
      </c>
      <c r="L7" s="41">
        <f>30503447/1000000</f>
        <v>30.503447000000001</v>
      </c>
      <c r="M7" t="s">
        <v>37</v>
      </c>
      <c r="N7">
        <v>2018</v>
      </c>
    </row>
    <row r="8" spans="9:14" x14ac:dyDescent="0.25">
      <c r="I8" s="41">
        <f>44215324/1000000</f>
        <v>44.215324000000003</v>
      </c>
      <c r="J8" s="41">
        <f>42370680/1000000</f>
        <v>42.37068</v>
      </c>
      <c r="K8" s="41">
        <f>43051135/1000000</f>
        <v>43.051135000000002</v>
      </c>
      <c r="L8" s="41">
        <f>41340645/1000000</f>
        <v>41.340645000000002</v>
      </c>
      <c r="M8" t="s">
        <v>37</v>
      </c>
      <c r="N8">
        <v>2019</v>
      </c>
    </row>
    <row r="9" spans="9:14" x14ac:dyDescent="0.25">
      <c r="I9" s="41">
        <f>41143941/1000000</f>
        <v>41.143940999999998</v>
      </c>
      <c r="J9" s="41">
        <f>41803077/1000000</f>
        <v>41.803077000000002</v>
      </c>
      <c r="K9" s="41">
        <f>38502000/1000000</f>
        <v>38.502000000000002</v>
      </c>
      <c r="L9" s="41">
        <f>44493844/1000000</f>
        <v>44.493844000000003</v>
      </c>
      <c r="M9" t="s">
        <v>37</v>
      </c>
      <c r="N9">
        <v>2020</v>
      </c>
    </row>
    <row r="10" spans="9:14" x14ac:dyDescent="0.25">
      <c r="I10" s="41">
        <f>40512784/1000000</f>
        <v>40.512784000000003</v>
      </c>
      <c r="J10" s="41">
        <f>40715801/1000000</f>
        <v>40.715800999999999</v>
      </c>
      <c r="K10" s="41">
        <f>41257260/1000000</f>
        <v>41.257260000000002</v>
      </c>
      <c r="L10" s="41">
        <f>40042771/1000000</f>
        <v>40.042771000000002</v>
      </c>
      <c r="M10" t="s">
        <v>37</v>
      </c>
      <c r="N10">
        <v>2021</v>
      </c>
    </row>
    <row r="11" spans="9:14" x14ac:dyDescent="0.25">
      <c r="I11" s="41"/>
      <c r="J11" s="41"/>
      <c r="K11" s="41">
        <f>40316081/1000000</f>
        <v>40.316080999999997</v>
      </c>
      <c r="L11" s="41">
        <f>39088710/1000000</f>
        <v>39.088709999999999</v>
      </c>
      <c r="M11" t="s">
        <v>37</v>
      </c>
      <c r="N11">
        <v>2022</v>
      </c>
    </row>
    <row r="18" spans="12:17" x14ac:dyDescent="0.25">
      <c r="L18" t="s">
        <v>151</v>
      </c>
      <c r="M18" t="s">
        <v>150</v>
      </c>
      <c r="N18" t="s">
        <v>148</v>
      </c>
      <c r="O18" t="s">
        <v>149</v>
      </c>
      <c r="P18" t="s">
        <v>37</v>
      </c>
      <c r="Q18" t="s">
        <v>165</v>
      </c>
    </row>
    <row r="19" spans="12:17" x14ac:dyDescent="0.25">
      <c r="L19" s="46">
        <v>40.960332999999999</v>
      </c>
      <c r="M19" s="46">
        <v>35.751432000000001</v>
      </c>
      <c r="N19" s="46">
        <v>31.426144000000001</v>
      </c>
      <c r="O19" s="46">
        <v>30.503447000000001</v>
      </c>
      <c r="P19" t="s">
        <v>37</v>
      </c>
      <c r="Q19">
        <v>2018</v>
      </c>
    </row>
    <row r="20" spans="12:17" x14ac:dyDescent="0.25">
      <c r="L20" s="46">
        <v>44.215324000000003</v>
      </c>
      <c r="M20" s="46">
        <v>42.37068</v>
      </c>
      <c r="N20" s="46">
        <v>43.051135000000002</v>
      </c>
      <c r="O20" s="46">
        <v>41.340645000000002</v>
      </c>
      <c r="P20" t="s">
        <v>37</v>
      </c>
      <c r="Q20">
        <v>2019</v>
      </c>
    </row>
    <row r="21" spans="12:17" x14ac:dyDescent="0.25">
      <c r="L21" s="46">
        <v>41.143940999999998</v>
      </c>
      <c r="M21" s="46">
        <v>41.803077000000002</v>
      </c>
      <c r="N21" s="46">
        <v>38.502000000000002</v>
      </c>
      <c r="O21" s="46">
        <v>44.493844000000003</v>
      </c>
      <c r="P21" t="s">
        <v>37</v>
      </c>
      <c r="Q21">
        <v>2020</v>
      </c>
    </row>
    <row r="22" spans="12:17" x14ac:dyDescent="0.25">
      <c r="L22" s="46">
        <v>40.512784000000003</v>
      </c>
      <c r="M22" s="46">
        <v>40.715800999999999</v>
      </c>
      <c r="N22" s="46">
        <v>41.257260000000002</v>
      </c>
      <c r="O22" s="46">
        <v>40.042771000000002</v>
      </c>
      <c r="P22" t="s">
        <v>37</v>
      </c>
      <c r="Q22">
        <v>2021</v>
      </c>
    </row>
    <row r="23" spans="12:17" x14ac:dyDescent="0.25">
      <c r="L23" s="46"/>
      <c r="M23" s="46"/>
      <c r="N23" s="46">
        <v>40.316080999999997</v>
      </c>
      <c r="O23" s="46">
        <v>39.088709999999999</v>
      </c>
      <c r="P23" t="s">
        <v>37</v>
      </c>
      <c r="Q23">
        <v>2022</v>
      </c>
    </row>
    <row r="24" spans="12:17" x14ac:dyDescent="0.25">
      <c r="L24" s="46"/>
      <c r="M24" s="46"/>
      <c r="N24" s="46"/>
      <c r="O24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6"/>
  <sheetViews>
    <sheetView zoomScale="55" zoomScaleNormal="55" workbookViewId="0">
      <selection activeCell="N4" sqref="N4:U31"/>
    </sheetView>
  </sheetViews>
  <sheetFormatPr defaultRowHeight="15" x14ac:dyDescent="0.25"/>
  <cols>
    <col min="2" max="2" width="20.140625" customWidth="1"/>
    <col min="3" max="3" width="20.85546875" customWidth="1"/>
    <col min="4" max="4" width="36.7109375" customWidth="1"/>
    <col min="5" max="5" width="31" customWidth="1"/>
    <col min="6" max="6" width="30.7109375" customWidth="1"/>
    <col min="7" max="7" width="32.7109375" customWidth="1"/>
    <col min="8" max="8" width="47.42578125" customWidth="1"/>
    <col min="9" max="9" width="32.85546875" customWidth="1"/>
  </cols>
  <sheetData>
    <row r="3" spans="2:9" ht="15.75" thickBot="1" x14ac:dyDescent="0.3"/>
    <row r="4" spans="2:9" ht="15.75" x14ac:dyDescent="0.25">
      <c r="B4" s="116">
        <v>2022</v>
      </c>
      <c r="C4" s="115"/>
      <c r="D4" s="115"/>
      <c r="E4" s="115"/>
      <c r="F4" s="115"/>
      <c r="G4" s="115"/>
      <c r="H4" s="115"/>
      <c r="I4" s="117"/>
    </row>
    <row r="5" spans="2:9" ht="39.75" customHeight="1" x14ac:dyDescent="0.25">
      <c r="B5" s="103" t="s">
        <v>174</v>
      </c>
      <c r="C5" s="104" t="s">
        <v>173</v>
      </c>
      <c r="D5" s="104" t="s">
        <v>23</v>
      </c>
      <c r="E5" s="104" t="s">
        <v>22</v>
      </c>
      <c r="F5" s="104" t="s">
        <v>21</v>
      </c>
      <c r="G5" s="104" t="s">
        <v>20</v>
      </c>
      <c r="H5" s="105"/>
      <c r="I5" s="106"/>
    </row>
    <row r="6" spans="2:9" ht="15.75" x14ac:dyDescent="0.25">
      <c r="B6" s="107">
        <f>C6/365</f>
        <v>300366.27945205482</v>
      </c>
      <c r="C6" s="108">
        <f>SUM(D6:G6)</f>
        <v>109633692</v>
      </c>
      <c r="D6" s="108">
        <v>35876096</v>
      </c>
      <c r="E6" s="108">
        <v>35977571</v>
      </c>
      <c r="F6" s="108">
        <v>37780025</v>
      </c>
      <c r="G6" s="108" t="s">
        <v>77</v>
      </c>
      <c r="H6" s="105" t="s">
        <v>32</v>
      </c>
      <c r="I6" s="106" t="s">
        <v>0</v>
      </c>
    </row>
    <row r="7" spans="2:9" ht="31.5" x14ac:dyDescent="0.25">
      <c r="B7" s="107"/>
      <c r="C7" s="108"/>
      <c r="D7" s="108"/>
      <c r="E7" s="109"/>
      <c r="F7" s="108"/>
      <c r="G7" s="108"/>
      <c r="H7" s="105" t="s">
        <v>33</v>
      </c>
      <c r="I7" s="106"/>
    </row>
    <row r="8" spans="2:9" ht="47.25" x14ac:dyDescent="0.25">
      <c r="B8" s="107">
        <f t="shared" ref="B8:B10" si="0">C8/365</f>
        <v>29474.761643835616</v>
      </c>
      <c r="C8" s="108">
        <f>SUM(D8:G8)</f>
        <v>10758288</v>
      </c>
      <c r="D8" s="108">
        <v>3914536</v>
      </c>
      <c r="E8" s="108">
        <v>2319088</v>
      </c>
      <c r="F8" s="108">
        <v>2298581</v>
      </c>
      <c r="G8" s="108">
        <v>2226083</v>
      </c>
      <c r="H8" s="105" t="s">
        <v>34</v>
      </c>
      <c r="I8" s="106"/>
    </row>
    <row r="9" spans="2:9" ht="15.75" x14ac:dyDescent="0.25">
      <c r="B9" s="107">
        <f t="shared" si="0"/>
        <v>995.87397260273974</v>
      </c>
      <c r="C9" s="108">
        <f>SUM(D9:G9)</f>
        <v>363494</v>
      </c>
      <c r="D9" s="108"/>
      <c r="E9" s="108"/>
      <c r="F9" s="108">
        <v>78893</v>
      </c>
      <c r="G9" s="108">
        <v>284601</v>
      </c>
      <c r="H9" s="105" t="s">
        <v>35</v>
      </c>
      <c r="I9" s="106"/>
    </row>
    <row r="10" spans="2:9" ht="15.75" x14ac:dyDescent="0.25">
      <c r="B10" s="107">
        <f t="shared" si="0"/>
        <v>3016.6794520547946</v>
      </c>
      <c r="C10" s="108">
        <f>SUM(D10:G10)</f>
        <v>1101088</v>
      </c>
      <c r="D10" s="108">
        <v>384554</v>
      </c>
      <c r="E10" s="108">
        <v>433516</v>
      </c>
      <c r="F10" s="108">
        <v>158582</v>
      </c>
      <c r="G10" s="108">
        <v>124436</v>
      </c>
      <c r="H10" s="105" t="s">
        <v>36</v>
      </c>
      <c r="I10" s="106"/>
    </row>
    <row r="11" spans="2:9" ht="15.75" x14ac:dyDescent="0.25">
      <c r="B11" s="107">
        <f t="shared" ref="B11:B31" si="1">C11/365</f>
        <v>433726.44383561646</v>
      </c>
      <c r="C11" s="108">
        <f>SUM(D11:G11)</f>
        <v>158310152</v>
      </c>
      <c r="D11" s="108">
        <v>40175186</v>
      </c>
      <c r="E11" s="108">
        <v>38730175</v>
      </c>
      <c r="F11" s="108">
        <v>40316081</v>
      </c>
      <c r="G11" s="108">
        <v>39088710</v>
      </c>
      <c r="H11" s="105" t="s">
        <v>37</v>
      </c>
      <c r="I11" s="106"/>
    </row>
    <row r="12" spans="2:9" ht="31.5" x14ac:dyDescent="0.25">
      <c r="B12" s="107">
        <f t="shared" si="1"/>
        <v>396316.75068493153</v>
      </c>
      <c r="C12" s="108">
        <f>SUM(D12:G12)</f>
        <v>144655614</v>
      </c>
      <c r="D12" s="108">
        <v>34966054</v>
      </c>
      <c r="E12" s="108">
        <v>37147815</v>
      </c>
      <c r="F12" s="108">
        <v>37618577</v>
      </c>
      <c r="G12" s="108">
        <v>34923168</v>
      </c>
      <c r="H12" s="105" t="s">
        <v>38</v>
      </c>
      <c r="I12" s="106" t="s">
        <v>1</v>
      </c>
    </row>
    <row r="13" spans="2:9" ht="15.75" x14ac:dyDescent="0.25">
      <c r="B13" s="107">
        <f t="shared" si="1"/>
        <v>33784706.432876714</v>
      </c>
      <c r="C13" s="108">
        <f>SUM(D13:G13)</f>
        <v>12331417848</v>
      </c>
      <c r="D13" s="108">
        <v>2429153973</v>
      </c>
      <c r="E13" s="108">
        <v>3096914127</v>
      </c>
      <c r="F13" s="108">
        <v>3776446251</v>
      </c>
      <c r="G13" s="108">
        <v>3028903497</v>
      </c>
      <c r="H13" s="105" t="s">
        <v>68</v>
      </c>
      <c r="I13" s="106"/>
    </row>
    <row r="14" spans="2:9" ht="31.5" x14ac:dyDescent="0.25">
      <c r="B14" s="107"/>
      <c r="C14" s="108">
        <f>SUM(D14:G14)</f>
        <v>339.95699999999999</v>
      </c>
      <c r="D14" s="110">
        <v>69.471999999999994</v>
      </c>
      <c r="E14" s="110">
        <v>83.367000000000004</v>
      </c>
      <c r="F14" s="110">
        <v>100.38800000000001</v>
      </c>
      <c r="G14" s="110">
        <v>86.73</v>
      </c>
      <c r="H14" s="105" t="s">
        <v>53</v>
      </c>
      <c r="I14" s="106"/>
    </row>
    <row r="15" spans="2:9" ht="31.5" x14ac:dyDescent="0.25">
      <c r="B15" s="107"/>
      <c r="C15" s="108">
        <f>SUM(D15:G15)</f>
        <v>0</v>
      </c>
      <c r="D15" s="108"/>
      <c r="E15" s="109"/>
      <c r="F15" s="108"/>
      <c r="G15" s="108"/>
      <c r="H15" s="105" t="s">
        <v>52</v>
      </c>
      <c r="I15" s="106" t="s">
        <v>25</v>
      </c>
    </row>
    <row r="16" spans="2:9" ht="31.5" x14ac:dyDescent="0.25">
      <c r="B16" s="107"/>
      <c r="C16" s="108">
        <f>SUM(D16:G16)</f>
        <v>0</v>
      </c>
      <c r="D16" s="109"/>
      <c r="E16" s="109"/>
      <c r="F16" s="108"/>
      <c r="G16" s="108"/>
      <c r="H16" s="105" t="s">
        <v>39</v>
      </c>
      <c r="I16" s="106"/>
    </row>
    <row r="17" spans="2:9" ht="31.5" x14ac:dyDescent="0.25">
      <c r="B17" s="107"/>
      <c r="C17" s="108">
        <f>SUM(D17:G17)</f>
        <v>0</v>
      </c>
      <c r="D17" s="109"/>
      <c r="E17" s="109"/>
      <c r="F17" s="108"/>
      <c r="G17" s="108"/>
      <c r="H17" s="105" t="s">
        <v>51</v>
      </c>
      <c r="I17" s="106"/>
    </row>
    <row r="18" spans="2:9" ht="31.5" x14ac:dyDescent="0.25">
      <c r="B18" s="107">
        <f t="shared" si="1"/>
        <v>4018.6219178082192</v>
      </c>
      <c r="C18" s="108">
        <f>SUM(D18:G18)</f>
        <v>1466797</v>
      </c>
      <c r="D18" s="108">
        <v>384554</v>
      </c>
      <c r="E18" s="108">
        <v>435731</v>
      </c>
      <c r="F18" s="108">
        <v>237475</v>
      </c>
      <c r="G18" s="108">
        <v>409037</v>
      </c>
      <c r="H18" s="105" t="s">
        <v>50</v>
      </c>
      <c r="I18" s="106" t="s">
        <v>29</v>
      </c>
    </row>
    <row r="19" spans="2:9" ht="15.75" x14ac:dyDescent="0.25">
      <c r="B19" s="107">
        <f t="shared" si="1"/>
        <v>248885.05753424659</v>
      </c>
      <c r="C19" s="108">
        <f>SUM(D19:G19)</f>
        <v>90843046</v>
      </c>
      <c r="D19" s="108">
        <v>23569580</v>
      </c>
      <c r="E19" s="108">
        <v>19976044</v>
      </c>
      <c r="F19" s="108">
        <v>12844028</v>
      </c>
      <c r="G19" s="108">
        <v>34453394</v>
      </c>
      <c r="H19" s="105" t="s">
        <v>49</v>
      </c>
      <c r="I19" s="106"/>
    </row>
    <row r="20" spans="2:9" ht="31.5" x14ac:dyDescent="0.25">
      <c r="B20" s="107">
        <f t="shared" si="1"/>
        <v>0.67247123287671229</v>
      </c>
      <c r="C20" s="108">
        <f>SUM(D20:G20)</f>
        <v>245.452</v>
      </c>
      <c r="D20" s="110">
        <v>61.290999999999997</v>
      </c>
      <c r="E20" s="110">
        <v>45.844999999999999</v>
      </c>
      <c r="F20" s="110">
        <v>54.085999999999999</v>
      </c>
      <c r="G20" s="110">
        <v>84.23</v>
      </c>
      <c r="H20" s="105" t="s">
        <v>48</v>
      </c>
      <c r="I20" s="106"/>
    </row>
    <row r="21" spans="2:9" ht="31.5" x14ac:dyDescent="0.25">
      <c r="B21" s="107">
        <f t="shared" si="1"/>
        <v>34033591.490410961</v>
      </c>
      <c r="C21" s="108">
        <f>SUM(D21:G21)</f>
        <v>12422260894</v>
      </c>
      <c r="D21" s="108">
        <v>2452723553</v>
      </c>
      <c r="E21" s="108">
        <v>3116890171</v>
      </c>
      <c r="F21" s="108">
        <v>3789290279</v>
      </c>
      <c r="G21" s="108">
        <v>3063356891</v>
      </c>
      <c r="H21" s="105" t="s">
        <v>47</v>
      </c>
      <c r="I21" s="106" t="s">
        <v>4</v>
      </c>
    </row>
    <row r="22" spans="2:9" ht="31.5" x14ac:dyDescent="0.25">
      <c r="B22" s="107">
        <f t="shared" si="1"/>
        <v>1510889.4684931508</v>
      </c>
      <c r="C22" s="108">
        <f>SUM(D22:G22)</f>
        <v>551474656</v>
      </c>
      <c r="D22" s="108">
        <v>41720212</v>
      </c>
      <c r="E22" s="108">
        <v>210212450</v>
      </c>
      <c r="F22" s="108">
        <v>124427774</v>
      </c>
      <c r="G22" s="108">
        <v>175114220</v>
      </c>
      <c r="H22" s="105" t="s">
        <v>46</v>
      </c>
      <c r="I22" s="106"/>
    </row>
    <row r="23" spans="2:9" ht="15.75" x14ac:dyDescent="0.25">
      <c r="B23" s="107">
        <f t="shared" si="1"/>
        <v>0</v>
      </c>
      <c r="C23" s="108">
        <f>SUM(D23:G23)</f>
        <v>0</v>
      </c>
      <c r="D23" s="108"/>
      <c r="E23" s="108"/>
      <c r="F23" s="108"/>
      <c r="G23" s="108"/>
      <c r="H23" s="105" t="s">
        <v>62</v>
      </c>
      <c r="I23" s="106"/>
    </row>
    <row r="24" spans="2:9" ht="31.5" x14ac:dyDescent="0.25">
      <c r="B24" s="107">
        <f t="shared" si="1"/>
        <v>438421.06301369861</v>
      </c>
      <c r="C24" s="108">
        <f>SUM(D24:G24)</f>
        <v>160023688</v>
      </c>
      <c r="D24" s="108">
        <v>3079100</v>
      </c>
      <c r="E24" s="108">
        <v>49151324</v>
      </c>
      <c r="F24" s="108">
        <v>49492324</v>
      </c>
      <c r="G24" s="108">
        <v>58300940</v>
      </c>
      <c r="H24" s="105" t="s">
        <v>45</v>
      </c>
      <c r="I24" s="106"/>
    </row>
    <row r="25" spans="2:9" ht="15.75" x14ac:dyDescent="0.25">
      <c r="B25" s="107">
        <f t="shared" si="1"/>
        <v>12700022.909589041</v>
      </c>
      <c r="C25" s="108">
        <f>SUM(D25:G25)</f>
        <v>4635508362</v>
      </c>
      <c r="D25" s="108">
        <v>1001321097</v>
      </c>
      <c r="E25" s="108">
        <v>978556593</v>
      </c>
      <c r="F25" s="108">
        <v>1632695597</v>
      </c>
      <c r="G25" s="108">
        <v>1022935075</v>
      </c>
      <c r="H25" s="105" t="s">
        <v>44</v>
      </c>
      <c r="I25" s="106"/>
    </row>
    <row r="26" spans="2:9" ht="31.5" x14ac:dyDescent="0.25">
      <c r="B26" s="107">
        <f t="shared" si="1"/>
        <v>1693506.4712328766</v>
      </c>
      <c r="C26" s="108">
        <f>SUM(D26:G26)</f>
        <v>618129862</v>
      </c>
      <c r="D26" s="108">
        <v>149536096</v>
      </c>
      <c r="E26" s="108">
        <v>126335608</v>
      </c>
      <c r="F26" s="108">
        <v>214803023</v>
      </c>
      <c r="G26" s="108">
        <v>127455135</v>
      </c>
      <c r="H26" s="105" t="s">
        <v>55</v>
      </c>
      <c r="I26" s="106"/>
    </row>
    <row r="27" spans="2:9" ht="31.5" x14ac:dyDescent="0.25">
      <c r="B27" s="107">
        <f t="shared" si="1"/>
        <v>752927.79726027395</v>
      </c>
      <c r="C27" s="108">
        <f>SUM(D27:G27)</f>
        <v>274818646</v>
      </c>
      <c r="D27" s="108">
        <v>10000000</v>
      </c>
      <c r="E27" s="108">
        <v>106192385</v>
      </c>
      <c r="F27" s="108">
        <v>36460969</v>
      </c>
      <c r="G27" s="108">
        <v>122165292</v>
      </c>
      <c r="H27" s="105" t="s">
        <v>64</v>
      </c>
      <c r="I27" s="106"/>
    </row>
    <row r="28" spans="2:9" ht="31.5" x14ac:dyDescent="0.25">
      <c r="B28" s="107">
        <f t="shared" si="1"/>
        <v>342465.75342465751</v>
      </c>
      <c r="C28" s="108">
        <f>SUM(D28:G28)</f>
        <v>125000000</v>
      </c>
      <c r="D28" s="108"/>
      <c r="E28" s="108"/>
      <c r="F28" s="108"/>
      <c r="G28" s="108">
        <v>125000000</v>
      </c>
      <c r="H28" s="105" t="s">
        <v>57</v>
      </c>
      <c r="I28" s="106"/>
    </row>
    <row r="29" spans="2:9" ht="31.5" x14ac:dyDescent="0.25">
      <c r="B29" s="107">
        <f t="shared" si="1"/>
        <v>1180937.0328767123</v>
      </c>
      <c r="C29" s="108">
        <f>SUM(D29:G29)</f>
        <v>431042017</v>
      </c>
      <c r="D29" s="108">
        <v>139718188</v>
      </c>
      <c r="E29" s="108">
        <v>43353515</v>
      </c>
      <c r="F29" s="108">
        <v>159425317</v>
      </c>
      <c r="G29" s="108">
        <v>88544997</v>
      </c>
      <c r="H29" s="105" t="s">
        <v>43</v>
      </c>
      <c r="I29" s="106"/>
    </row>
    <row r="30" spans="2:9" ht="31.5" x14ac:dyDescent="0.25">
      <c r="B30" s="107"/>
      <c r="C30" s="108">
        <f>SUM(D30:G30)</f>
        <v>0</v>
      </c>
      <c r="D30" s="108"/>
      <c r="E30" s="108"/>
      <c r="F30" s="108"/>
      <c r="G30" s="108"/>
      <c r="H30" s="105" t="s">
        <v>42</v>
      </c>
      <c r="I30" s="106"/>
    </row>
    <row r="31" spans="2:9" ht="48" thickBot="1" x14ac:dyDescent="0.3">
      <c r="B31" s="111">
        <f t="shared" si="1"/>
        <v>15643024.895890411</v>
      </c>
      <c r="C31" s="112">
        <f>SUM(D31:G31)</f>
        <v>5709704087</v>
      </c>
      <c r="D31" s="112">
        <v>1190789284</v>
      </c>
      <c r="E31" s="112">
        <v>1603088296</v>
      </c>
      <c r="F31" s="112">
        <v>1571985275</v>
      </c>
      <c r="G31" s="112">
        <v>1343841232</v>
      </c>
      <c r="H31" s="113" t="s">
        <v>41</v>
      </c>
      <c r="I31" s="114"/>
    </row>
    <row r="35" spans="11:11" x14ac:dyDescent="0.25">
      <c r="K35" t="s">
        <v>78</v>
      </c>
    </row>
    <row r="36" spans="11:11" x14ac:dyDescent="0.25">
      <c r="K36" t="s">
        <v>79</v>
      </c>
    </row>
  </sheetData>
  <mergeCells count="1">
    <mergeCell ref="B4:I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7"/>
  <sheetViews>
    <sheetView zoomScale="70" zoomScaleNormal="70" workbookViewId="0">
      <selection activeCell="C3" sqref="C3:H30"/>
    </sheetView>
  </sheetViews>
  <sheetFormatPr defaultRowHeight="15" x14ac:dyDescent="0.25"/>
  <cols>
    <col min="2" max="2" width="18.28515625" bestFit="1" customWidth="1"/>
    <col min="3" max="3" width="35.28515625" bestFit="1" customWidth="1"/>
    <col min="4" max="4" width="31.85546875" bestFit="1" customWidth="1"/>
    <col min="5" max="5" width="31.7109375" bestFit="1" customWidth="1"/>
    <col min="6" max="6" width="31.85546875" bestFit="1" customWidth="1"/>
    <col min="7" max="7" width="73.28515625" customWidth="1"/>
    <col min="8" max="8" width="48.7109375" bestFit="1" customWidth="1"/>
  </cols>
  <sheetData>
    <row r="2" spans="3:8" ht="15.75" thickBot="1" x14ac:dyDescent="0.3"/>
    <row r="3" spans="3:8" x14ac:dyDescent="0.25">
      <c r="C3" s="98">
        <v>2021</v>
      </c>
      <c r="D3" s="99"/>
      <c r="E3" s="99"/>
      <c r="F3" s="99"/>
      <c r="G3" s="18"/>
      <c r="H3" s="15"/>
    </row>
    <row r="4" spans="3:8" x14ac:dyDescent="0.25">
      <c r="C4" s="40" t="s">
        <v>19</v>
      </c>
      <c r="D4" s="7" t="s">
        <v>18</v>
      </c>
      <c r="E4" s="7" t="s">
        <v>69</v>
      </c>
      <c r="F4" s="7" t="s">
        <v>17</v>
      </c>
      <c r="G4" s="8"/>
      <c r="H4" s="16"/>
    </row>
    <row r="5" spans="3:8" x14ac:dyDescent="0.25">
      <c r="C5" s="11">
        <v>37557760</v>
      </c>
      <c r="D5" s="11">
        <v>37641238</v>
      </c>
      <c r="E5" s="11">
        <v>39215239</v>
      </c>
      <c r="F5" s="11">
        <v>38135373</v>
      </c>
      <c r="G5" s="8" t="s">
        <v>32</v>
      </c>
      <c r="H5" s="16" t="s">
        <v>0</v>
      </c>
    </row>
    <row r="6" spans="3:8" x14ac:dyDescent="0.25">
      <c r="C6" s="11"/>
      <c r="D6" s="11"/>
      <c r="E6" s="11"/>
      <c r="F6" s="11"/>
      <c r="G6" s="8" t="s">
        <v>33</v>
      </c>
      <c r="H6" s="16"/>
    </row>
    <row r="7" spans="3:8" x14ac:dyDescent="0.25">
      <c r="C7" s="11">
        <v>2355937</v>
      </c>
      <c r="D7" s="11">
        <v>2351751</v>
      </c>
      <c r="E7" s="11">
        <v>1866179</v>
      </c>
      <c r="F7" s="11">
        <v>1783160</v>
      </c>
      <c r="G7" s="8" t="s">
        <v>34</v>
      </c>
      <c r="H7" s="16"/>
    </row>
    <row r="8" spans="3:8" x14ac:dyDescent="0.25">
      <c r="C8" s="11">
        <v>283162</v>
      </c>
      <c r="D8" s="11">
        <v>217194</v>
      </c>
      <c r="E8" s="11">
        <v>175842</v>
      </c>
      <c r="F8" s="11">
        <v>124238</v>
      </c>
      <c r="G8" s="27" t="s">
        <v>35</v>
      </c>
      <c r="H8" s="16"/>
    </row>
    <row r="9" spans="3:8" x14ac:dyDescent="0.25">
      <c r="C9" s="11">
        <v>315925</v>
      </c>
      <c r="D9" s="11">
        <v>505618</v>
      </c>
      <c r="E9" s="11"/>
      <c r="F9" s="11"/>
      <c r="G9" s="27" t="s">
        <v>36</v>
      </c>
      <c r="H9" s="16"/>
    </row>
    <row r="10" spans="3:8" x14ac:dyDescent="0.25">
      <c r="C10" s="11">
        <v>40512784</v>
      </c>
      <c r="D10" s="11">
        <v>40715801</v>
      </c>
      <c r="E10" s="11">
        <v>41257260</v>
      </c>
      <c r="F10" s="11">
        <v>40042771</v>
      </c>
      <c r="G10" s="8" t="s">
        <v>37</v>
      </c>
      <c r="H10" s="16"/>
    </row>
    <row r="11" spans="3:8" x14ac:dyDescent="0.25">
      <c r="C11" s="11">
        <v>37055975</v>
      </c>
      <c r="D11" s="11">
        <v>38075291</v>
      </c>
      <c r="E11" s="11">
        <v>39425366</v>
      </c>
      <c r="F11" s="11">
        <v>37444522</v>
      </c>
      <c r="G11" s="8" t="s">
        <v>38</v>
      </c>
      <c r="H11" s="16" t="s">
        <v>1</v>
      </c>
    </row>
    <row r="12" spans="3:8" x14ac:dyDescent="0.25">
      <c r="C12" s="11">
        <v>2535749399</v>
      </c>
      <c r="D12" s="11">
        <v>2393733513</v>
      </c>
      <c r="E12" s="11">
        <v>2275079490</v>
      </c>
      <c r="F12" s="11">
        <v>1833324620</v>
      </c>
      <c r="G12" s="27" t="s">
        <v>68</v>
      </c>
      <c r="H12" s="16"/>
    </row>
    <row r="13" spans="3:8" x14ac:dyDescent="0.25">
      <c r="C13" s="11">
        <v>68.430000000000007</v>
      </c>
      <c r="D13" s="11">
        <v>62.868000000000002</v>
      </c>
      <c r="E13" s="11">
        <v>57.706000000000003</v>
      </c>
      <c r="F13" s="11">
        <v>48.960999999999999</v>
      </c>
      <c r="G13" s="27" t="s">
        <v>53</v>
      </c>
      <c r="H13" s="16"/>
    </row>
    <row r="14" spans="3:8" x14ac:dyDescent="0.25">
      <c r="C14" s="11"/>
      <c r="D14" s="11"/>
      <c r="E14" s="11"/>
      <c r="F14" s="11"/>
      <c r="G14" s="27" t="s">
        <v>52</v>
      </c>
      <c r="H14" s="16" t="s">
        <v>25</v>
      </c>
    </row>
    <row r="15" spans="3:8" ht="30" x14ac:dyDescent="0.25">
      <c r="C15" s="11"/>
      <c r="D15" s="11"/>
      <c r="E15" s="11"/>
      <c r="F15" s="11"/>
      <c r="G15" s="27" t="s">
        <v>39</v>
      </c>
      <c r="H15" s="16"/>
    </row>
    <row r="16" spans="3:8" x14ac:dyDescent="0.25">
      <c r="C16" s="11"/>
      <c r="D16" s="11"/>
      <c r="E16" s="11"/>
      <c r="F16" s="11"/>
      <c r="G16" s="27" t="s">
        <v>51</v>
      </c>
      <c r="H16" s="16"/>
    </row>
    <row r="17" spans="2:8" x14ac:dyDescent="0.25">
      <c r="C17" s="11">
        <v>599087</v>
      </c>
      <c r="D17" s="11">
        <v>722812</v>
      </c>
      <c r="E17" s="11">
        <v>175842</v>
      </c>
      <c r="F17" s="11">
        <v>124238</v>
      </c>
      <c r="G17" s="27" t="s">
        <v>50</v>
      </c>
      <c r="H17" s="16" t="s">
        <v>29</v>
      </c>
    </row>
    <row r="18" spans="2:8" x14ac:dyDescent="0.25">
      <c r="C18" s="11">
        <v>33393623</v>
      </c>
      <c r="D18" s="11">
        <v>36028560</v>
      </c>
      <c r="E18" s="11">
        <v>11288944</v>
      </c>
      <c r="F18" s="11">
        <v>7388907</v>
      </c>
      <c r="G18" s="27" t="s">
        <v>49</v>
      </c>
      <c r="H18" s="16"/>
    </row>
    <row r="19" spans="2:8" x14ac:dyDescent="0.25">
      <c r="C19" s="11">
        <v>55.741</v>
      </c>
      <c r="D19" s="11">
        <v>49.844999999999999</v>
      </c>
      <c r="E19" s="11">
        <v>64.198999999999998</v>
      </c>
      <c r="F19" s="11">
        <v>59.473999999999997</v>
      </c>
      <c r="G19" s="27" t="s">
        <v>48</v>
      </c>
      <c r="H19" s="16"/>
    </row>
    <row r="20" spans="2:8" ht="30" x14ac:dyDescent="0.25">
      <c r="B20" s="41">
        <f>SUM(C20:F20)</f>
        <v>9125987056</v>
      </c>
      <c r="C20" s="11">
        <v>2569143022</v>
      </c>
      <c r="D20" s="11">
        <v>2429762073</v>
      </c>
      <c r="E20" s="11">
        <v>2286368434</v>
      </c>
      <c r="F20" s="11">
        <v>1840713527</v>
      </c>
      <c r="G20" s="27" t="s">
        <v>47</v>
      </c>
      <c r="H20" s="16" t="s">
        <v>4</v>
      </c>
    </row>
    <row r="21" spans="2:8" ht="30" x14ac:dyDescent="0.25">
      <c r="B21" s="41">
        <f t="shared" ref="B21:B30" si="0">SUM(C21:F21)</f>
        <v>532107677</v>
      </c>
      <c r="C21" s="11">
        <v>67493459</v>
      </c>
      <c r="D21" s="11">
        <v>182362542</v>
      </c>
      <c r="E21" s="11">
        <v>47862088</v>
      </c>
      <c r="F21" s="11">
        <v>234389588</v>
      </c>
      <c r="G21" s="27" t="s">
        <v>46</v>
      </c>
      <c r="H21" s="16"/>
    </row>
    <row r="22" spans="2:8" x14ac:dyDescent="0.25">
      <c r="B22" s="41">
        <f t="shared" si="0"/>
        <v>310000000</v>
      </c>
      <c r="C22" s="11"/>
      <c r="D22" s="11"/>
      <c r="E22" s="11"/>
      <c r="F22" s="11">
        <v>310000000</v>
      </c>
      <c r="G22" s="27" t="s">
        <v>74</v>
      </c>
      <c r="H22" s="16"/>
    </row>
    <row r="23" spans="2:8" x14ac:dyDescent="0.25">
      <c r="B23" s="41">
        <f t="shared" si="0"/>
        <v>224523356</v>
      </c>
      <c r="C23" s="11">
        <v>119592557</v>
      </c>
      <c r="D23" s="11">
        <v>53742963</v>
      </c>
      <c r="E23" s="11">
        <v>26902353</v>
      </c>
      <c r="F23" s="11">
        <v>24285483</v>
      </c>
      <c r="G23" s="27" t="s">
        <v>45</v>
      </c>
      <c r="H23" s="16"/>
    </row>
    <row r="24" spans="2:8" x14ac:dyDescent="0.25">
      <c r="B24" s="41">
        <f t="shared" si="0"/>
        <v>3140141680</v>
      </c>
      <c r="C24" s="11">
        <v>1025702045</v>
      </c>
      <c r="D24" s="11">
        <v>716814879</v>
      </c>
      <c r="E24" s="11">
        <v>941452738</v>
      </c>
      <c r="F24" s="11">
        <v>456172018</v>
      </c>
      <c r="G24" s="27" t="s">
        <v>44</v>
      </c>
      <c r="H24" s="16"/>
    </row>
    <row r="25" spans="2:8" x14ac:dyDescent="0.25">
      <c r="B25" s="41">
        <f t="shared" si="0"/>
        <v>434412552</v>
      </c>
      <c r="C25" s="11">
        <v>162349297</v>
      </c>
      <c r="D25" s="11">
        <v>99923207</v>
      </c>
      <c r="E25" s="11">
        <v>119394094</v>
      </c>
      <c r="F25" s="11">
        <v>52745954</v>
      </c>
      <c r="G25" s="27" t="s">
        <v>55</v>
      </c>
      <c r="H25" s="16"/>
    </row>
    <row r="26" spans="2:8" ht="30" x14ac:dyDescent="0.25">
      <c r="B26" s="41">
        <f t="shared" si="0"/>
        <v>870174336</v>
      </c>
      <c r="C26" s="11">
        <v>197153659</v>
      </c>
      <c r="D26" s="11">
        <v>218606905</v>
      </c>
      <c r="E26" s="11">
        <v>238932863</v>
      </c>
      <c r="F26" s="11">
        <v>215480909</v>
      </c>
      <c r="G26" s="27" t="s">
        <v>64</v>
      </c>
      <c r="H26" s="16"/>
    </row>
    <row r="27" spans="2:8" ht="30" x14ac:dyDescent="0.25">
      <c r="B27" s="41">
        <f t="shared" si="0"/>
        <v>0</v>
      </c>
      <c r="C27" s="11"/>
      <c r="D27" s="11"/>
      <c r="E27" s="11"/>
      <c r="F27" s="11"/>
      <c r="G27" s="27" t="s">
        <v>57</v>
      </c>
      <c r="H27" s="16"/>
    </row>
    <row r="28" spans="2:8" ht="30" x14ac:dyDescent="0.25">
      <c r="B28" s="41">
        <f t="shared" si="0"/>
        <v>94799871</v>
      </c>
      <c r="C28" s="11">
        <v>37473413</v>
      </c>
      <c r="D28" s="11">
        <v>25043659</v>
      </c>
      <c r="E28" s="11">
        <v>17393892</v>
      </c>
      <c r="F28" s="11">
        <v>14888907</v>
      </c>
      <c r="G28" s="27" t="s">
        <v>43</v>
      </c>
      <c r="H28" s="16"/>
    </row>
    <row r="29" spans="2:8" x14ac:dyDescent="0.25">
      <c r="B29" s="41">
        <f t="shared" si="0"/>
        <v>0</v>
      </c>
      <c r="C29" s="11"/>
      <c r="D29" s="11"/>
      <c r="E29" s="11"/>
      <c r="F29" s="11"/>
      <c r="G29" s="27" t="s">
        <v>42</v>
      </c>
      <c r="H29" s="16"/>
    </row>
    <row r="30" spans="2:8" ht="30.75" thickBot="1" x14ac:dyDescent="0.3">
      <c r="B30" s="41">
        <f t="shared" si="0"/>
        <v>3964814502</v>
      </c>
      <c r="C30" s="11">
        <v>1094365510</v>
      </c>
      <c r="D30" s="11">
        <v>1133267918</v>
      </c>
      <c r="E30" s="11">
        <v>894430406</v>
      </c>
      <c r="F30" s="11">
        <v>842750668</v>
      </c>
      <c r="G30" s="30" t="s">
        <v>41</v>
      </c>
      <c r="H30" s="17"/>
    </row>
    <row r="35" spans="10:10" x14ac:dyDescent="0.25">
      <c r="J35" t="s">
        <v>54</v>
      </c>
    </row>
    <row r="36" spans="10:10" x14ac:dyDescent="0.25">
      <c r="J36" t="s">
        <v>75</v>
      </c>
    </row>
    <row r="37" spans="10:10" x14ac:dyDescent="0.25">
      <c r="J37" t="s">
        <v>76</v>
      </c>
    </row>
  </sheetData>
  <mergeCells count="1">
    <mergeCell ref="C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37"/>
  <sheetViews>
    <sheetView zoomScale="85" zoomScaleNormal="85" workbookViewId="0">
      <selection activeCell="D4" sqref="D4:I31"/>
    </sheetView>
  </sheetViews>
  <sheetFormatPr defaultRowHeight="15" x14ac:dyDescent="0.25"/>
  <cols>
    <col min="4" max="4" width="35.28515625" bestFit="1" customWidth="1"/>
    <col min="5" max="5" width="31.85546875" bestFit="1" customWidth="1"/>
    <col min="6" max="6" width="31.7109375" bestFit="1" customWidth="1"/>
    <col min="7" max="7" width="31.85546875" bestFit="1" customWidth="1"/>
    <col min="8" max="8" width="67.42578125" customWidth="1"/>
    <col min="9" max="9" width="48.7109375" bestFit="1" customWidth="1"/>
  </cols>
  <sheetData>
    <row r="3" spans="4:9" ht="15.75" thickBot="1" x14ac:dyDescent="0.3"/>
    <row r="4" spans="4:9" x14ac:dyDescent="0.25">
      <c r="D4" s="98">
        <v>2020</v>
      </c>
      <c r="E4" s="99"/>
      <c r="F4" s="99"/>
      <c r="G4" s="99"/>
      <c r="H4" s="18"/>
      <c r="I4" s="15"/>
    </row>
    <row r="5" spans="4:9" ht="15.75" thickBot="1" x14ac:dyDescent="0.3">
      <c r="D5" s="38" t="s">
        <v>16</v>
      </c>
      <c r="E5" s="39" t="s">
        <v>15</v>
      </c>
      <c r="F5" s="39" t="s">
        <v>14</v>
      </c>
      <c r="G5" s="39" t="s">
        <v>13</v>
      </c>
      <c r="H5" s="23"/>
      <c r="I5" s="34"/>
    </row>
    <row r="6" spans="4:9" x14ac:dyDescent="0.25">
      <c r="D6" s="24">
        <v>38878835</v>
      </c>
      <c r="E6" s="9">
        <v>39421103</v>
      </c>
      <c r="F6" s="35">
        <v>37038461</v>
      </c>
      <c r="G6" s="12">
        <v>42261263</v>
      </c>
      <c r="H6" s="18" t="s">
        <v>32</v>
      </c>
      <c r="I6" s="15" t="s">
        <v>0</v>
      </c>
    </row>
    <row r="7" spans="4:9" x14ac:dyDescent="0.25">
      <c r="D7" s="26"/>
      <c r="E7" s="8"/>
      <c r="F7" s="21"/>
      <c r="G7" s="13"/>
      <c r="H7" s="8" t="s">
        <v>33</v>
      </c>
      <c r="I7" s="16"/>
    </row>
    <row r="8" spans="4:9" x14ac:dyDescent="0.25">
      <c r="D8" s="26">
        <v>2265106</v>
      </c>
      <c r="E8" s="6">
        <v>2381974</v>
      </c>
      <c r="F8" s="36">
        <v>1463539</v>
      </c>
      <c r="G8" s="13">
        <v>2134967</v>
      </c>
      <c r="H8" s="8" t="s">
        <v>34</v>
      </c>
      <c r="I8" s="16"/>
    </row>
    <row r="9" spans="4:9" x14ac:dyDescent="0.25">
      <c r="D9" s="26"/>
      <c r="E9" s="6"/>
      <c r="F9" s="21"/>
      <c r="G9" s="13">
        <v>97614</v>
      </c>
      <c r="H9" s="27" t="s">
        <v>35</v>
      </c>
      <c r="I9" s="16"/>
    </row>
    <row r="10" spans="4:9" x14ac:dyDescent="0.25">
      <c r="D10" s="26"/>
      <c r="E10" s="6"/>
      <c r="F10" s="21"/>
      <c r="G10" s="13">
        <v>0</v>
      </c>
      <c r="H10" s="27" t="s">
        <v>36</v>
      </c>
      <c r="I10" s="16"/>
    </row>
    <row r="11" spans="4:9" ht="15.75" thickBot="1" x14ac:dyDescent="0.3">
      <c r="D11" s="28">
        <v>41143941</v>
      </c>
      <c r="E11" s="10">
        <v>41803077</v>
      </c>
      <c r="F11" s="37">
        <v>38502000</v>
      </c>
      <c r="G11" s="14">
        <v>44493844</v>
      </c>
      <c r="H11" s="19" t="s">
        <v>37</v>
      </c>
      <c r="I11" s="17"/>
    </row>
    <row r="12" spans="4:9" x14ac:dyDescent="0.25">
      <c r="D12" s="24">
        <v>39147859</v>
      </c>
      <c r="E12" s="9">
        <v>39265779</v>
      </c>
      <c r="F12" s="12">
        <v>37408005</v>
      </c>
      <c r="G12" s="12">
        <v>42323769</v>
      </c>
      <c r="H12" s="18" t="s">
        <v>38</v>
      </c>
      <c r="I12" s="15" t="s">
        <v>1</v>
      </c>
    </row>
    <row r="13" spans="4:9" x14ac:dyDescent="0.25">
      <c r="D13" s="26">
        <v>1272698547</v>
      </c>
      <c r="E13" s="6">
        <v>1243526571</v>
      </c>
      <c r="F13" s="13">
        <v>590349504</v>
      </c>
      <c r="G13" s="13">
        <v>1337267613</v>
      </c>
      <c r="H13" s="27" t="s">
        <v>68</v>
      </c>
      <c r="I13" s="16"/>
    </row>
    <row r="14" spans="4:9" ht="15.75" thickBot="1" x14ac:dyDescent="0.3">
      <c r="D14" s="29">
        <v>32.51</v>
      </c>
      <c r="E14" s="19">
        <v>31.669</v>
      </c>
      <c r="F14" s="37">
        <v>15.781000000000001</v>
      </c>
      <c r="G14" s="14">
        <v>31.596</v>
      </c>
      <c r="H14" s="30" t="s">
        <v>53</v>
      </c>
      <c r="I14" s="17"/>
    </row>
    <row r="15" spans="4:9" ht="15.75" thickBot="1" x14ac:dyDescent="0.3">
      <c r="D15" s="31"/>
      <c r="E15" s="31"/>
      <c r="F15" s="31"/>
      <c r="G15" s="31"/>
      <c r="H15" s="31" t="s">
        <v>52</v>
      </c>
      <c r="I15" s="15" t="s">
        <v>25</v>
      </c>
    </row>
    <row r="16" spans="4:9" ht="30.75" thickBot="1" x14ac:dyDescent="0.3">
      <c r="D16" s="31"/>
      <c r="E16" s="31"/>
      <c r="F16" s="31"/>
      <c r="G16" s="31"/>
      <c r="H16" s="27" t="s">
        <v>39</v>
      </c>
      <c r="I16" s="16"/>
    </row>
    <row r="17" spans="4:9" ht="15.75" thickBot="1" x14ac:dyDescent="0.3">
      <c r="D17" s="31"/>
      <c r="E17" s="31"/>
      <c r="F17" s="31"/>
      <c r="G17" s="31"/>
      <c r="H17" s="30" t="s">
        <v>51</v>
      </c>
      <c r="I17" s="17"/>
    </row>
    <row r="18" spans="4:9" x14ac:dyDescent="0.25">
      <c r="D18" s="24"/>
      <c r="E18" s="9"/>
      <c r="F18" s="12"/>
      <c r="G18" s="12">
        <v>97614</v>
      </c>
      <c r="H18" s="31" t="s">
        <v>50</v>
      </c>
      <c r="I18" s="15" t="s">
        <v>29</v>
      </c>
    </row>
    <row r="19" spans="4:9" x14ac:dyDescent="0.25">
      <c r="D19" s="26"/>
      <c r="E19" s="6"/>
      <c r="F19" s="13"/>
      <c r="G19" s="13">
        <v>4993033</v>
      </c>
      <c r="H19" s="27" t="s">
        <v>49</v>
      </c>
      <c r="I19" s="16"/>
    </row>
    <row r="20" spans="4:9" ht="15.75" thickBot="1" x14ac:dyDescent="0.3">
      <c r="D20" s="32"/>
      <c r="E20" s="23"/>
      <c r="F20" s="22"/>
      <c r="G20" s="14">
        <v>51.151000000000003</v>
      </c>
      <c r="H20" s="33" t="s">
        <v>48</v>
      </c>
      <c r="I20" s="34"/>
    </row>
    <row r="21" spans="4:9" ht="30.75" thickBot="1" x14ac:dyDescent="0.3">
      <c r="D21" s="24">
        <v>1272698547</v>
      </c>
      <c r="E21" s="9">
        <v>1243526571</v>
      </c>
      <c r="F21" s="12">
        <v>590349504</v>
      </c>
      <c r="G21" s="12">
        <v>1342260646</v>
      </c>
      <c r="H21" s="31" t="s">
        <v>47</v>
      </c>
      <c r="I21" s="15" t="s">
        <v>4</v>
      </c>
    </row>
    <row r="22" spans="4:9" ht="30.75" thickBot="1" x14ac:dyDescent="0.3">
      <c r="D22" s="24">
        <v>94329601</v>
      </c>
      <c r="E22" s="6">
        <v>26255300</v>
      </c>
      <c r="F22" s="13" t="s">
        <v>72</v>
      </c>
      <c r="G22" s="13">
        <v>498666605</v>
      </c>
      <c r="H22" s="27" t="s">
        <v>46</v>
      </c>
      <c r="I22" s="16"/>
    </row>
    <row r="23" spans="4:9" ht="15.75" thickBot="1" x14ac:dyDescent="0.3">
      <c r="D23" s="24"/>
      <c r="F23" s="13">
        <v>415000000</v>
      </c>
      <c r="G23" s="13"/>
      <c r="H23" s="27" t="s">
        <v>62</v>
      </c>
      <c r="I23" s="16"/>
    </row>
    <row r="24" spans="4:9" ht="15.75" thickBot="1" x14ac:dyDescent="0.3">
      <c r="D24" s="24">
        <v>13189865</v>
      </c>
      <c r="E24" s="6">
        <v>3299533</v>
      </c>
      <c r="F24" s="13" t="s">
        <v>73</v>
      </c>
      <c r="G24" s="13">
        <v>42642351</v>
      </c>
      <c r="H24" s="27" t="s">
        <v>45</v>
      </c>
      <c r="I24" s="16"/>
    </row>
    <row r="25" spans="4:9" ht="15.75" thickBot="1" x14ac:dyDescent="0.3">
      <c r="D25" s="24">
        <v>411134481</v>
      </c>
      <c r="E25" s="6">
        <v>421495009</v>
      </c>
      <c r="F25" s="13">
        <v>500561442</v>
      </c>
      <c r="G25" s="13">
        <v>427498393</v>
      </c>
      <c r="H25" s="27" t="s">
        <v>44</v>
      </c>
      <c r="I25" s="16"/>
    </row>
    <row r="26" spans="4:9" ht="15.75" thickBot="1" x14ac:dyDescent="0.3">
      <c r="D26" s="24">
        <v>50002776</v>
      </c>
      <c r="E26" s="6">
        <v>47715717</v>
      </c>
      <c r="F26" s="13">
        <v>70042137</v>
      </c>
      <c r="G26" s="13">
        <v>136731461</v>
      </c>
      <c r="H26" s="27" t="s">
        <v>55</v>
      </c>
      <c r="I26" s="16"/>
    </row>
    <row r="27" spans="4:9" ht="30.75" thickBot="1" x14ac:dyDescent="0.3">
      <c r="D27" s="24">
        <v>190346076</v>
      </c>
      <c r="E27" s="6">
        <v>191273212</v>
      </c>
      <c r="F27" s="13">
        <v>84890716</v>
      </c>
      <c r="G27" s="13">
        <v>179094807</v>
      </c>
      <c r="H27" s="27" t="s">
        <v>64</v>
      </c>
      <c r="I27" s="16"/>
    </row>
    <row r="28" spans="4:9" ht="30.75" thickBot="1" x14ac:dyDescent="0.3">
      <c r="D28" s="24"/>
      <c r="E28" s="6"/>
      <c r="F28" s="13"/>
      <c r="G28" s="13">
        <v>60000000</v>
      </c>
      <c r="H28" s="27" t="s">
        <v>57</v>
      </c>
      <c r="I28" s="16"/>
    </row>
    <row r="29" spans="4:9" ht="30" x14ac:dyDescent="0.25">
      <c r="D29" s="24"/>
      <c r="E29" s="6"/>
      <c r="F29" s="13"/>
      <c r="G29" s="13">
        <v>33970566</v>
      </c>
      <c r="H29" s="27" t="s">
        <v>43</v>
      </c>
      <c r="I29" s="16"/>
    </row>
    <row r="30" spans="4:9" x14ac:dyDescent="0.25">
      <c r="D30" s="26"/>
      <c r="E30" s="6"/>
      <c r="F30" s="13"/>
      <c r="G30" s="13"/>
      <c r="H30" s="27" t="s">
        <v>42</v>
      </c>
      <c r="I30" s="16"/>
    </row>
    <row r="31" spans="4:9" ht="30.75" thickBot="1" x14ac:dyDescent="0.3">
      <c r="D31" s="28">
        <v>513695748</v>
      </c>
      <c r="E31" s="10">
        <v>553487800</v>
      </c>
      <c r="F31" s="14">
        <v>317304491</v>
      </c>
      <c r="G31" s="14">
        <v>960989673</v>
      </c>
      <c r="H31" s="30" t="s">
        <v>41</v>
      </c>
      <c r="I31" s="17"/>
    </row>
    <row r="36" spans="11:11" x14ac:dyDescent="0.25">
      <c r="K36" t="s">
        <v>70</v>
      </c>
    </row>
    <row r="37" spans="11:11" x14ac:dyDescent="0.25">
      <c r="K37" t="s">
        <v>71</v>
      </c>
    </row>
  </sheetData>
  <mergeCells count="1">
    <mergeCell ref="D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K40"/>
  <sheetViews>
    <sheetView zoomScale="70" zoomScaleNormal="70" workbookViewId="0">
      <selection activeCell="F12" sqref="F12"/>
    </sheetView>
  </sheetViews>
  <sheetFormatPr defaultRowHeight="15" x14ac:dyDescent="0.25"/>
  <cols>
    <col min="4" max="4" width="41.140625" bestFit="1" customWidth="1"/>
    <col min="5" max="5" width="36.7109375" bestFit="1" customWidth="1"/>
    <col min="6" max="6" width="36.85546875" bestFit="1" customWidth="1"/>
    <col min="7" max="7" width="36.5703125" bestFit="1" customWidth="1"/>
    <col min="8" max="8" width="117" bestFit="1" customWidth="1"/>
    <col min="9" max="9" width="48.7109375" bestFit="1" customWidth="1"/>
  </cols>
  <sheetData>
    <row r="4" spans="4:9" x14ac:dyDescent="0.25">
      <c r="D4" s="100">
        <v>2019</v>
      </c>
      <c r="E4" s="100"/>
      <c r="F4" s="100"/>
      <c r="G4" s="100"/>
      <c r="H4" s="8"/>
      <c r="I4" s="8"/>
    </row>
    <row r="5" spans="4:9" ht="15.75" thickBot="1" x14ac:dyDescent="0.3">
      <c r="D5" t="s">
        <v>11</v>
      </c>
      <c r="E5" t="s">
        <v>12</v>
      </c>
      <c r="F5" t="s">
        <v>10</v>
      </c>
      <c r="G5" t="s">
        <v>9</v>
      </c>
      <c r="H5" s="23"/>
      <c r="I5" s="23"/>
    </row>
    <row r="6" spans="4:9" x14ac:dyDescent="0.25">
      <c r="D6" s="24">
        <v>42054326</v>
      </c>
      <c r="E6" s="9">
        <v>39896860</v>
      </c>
      <c r="F6" s="35">
        <v>40191108</v>
      </c>
      <c r="G6" s="12">
        <v>38163989</v>
      </c>
      <c r="H6" s="18" t="s">
        <v>32</v>
      </c>
      <c r="I6" s="15" t="s">
        <v>0</v>
      </c>
    </row>
    <row r="7" spans="4:9" x14ac:dyDescent="0.25">
      <c r="D7" s="26"/>
      <c r="E7" s="8"/>
      <c r="F7" s="21"/>
      <c r="G7" s="13"/>
      <c r="H7" s="8" t="s">
        <v>33</v>
      </c>
      <c r="I7" s="16"/>
    </row>
    <row r="8" spans="4:9" x14ac:dyDescent="0.25">
      <c r="D8" s="26">
        <v>1786068</v>
      </c>
      <c r="E8" s="6">
        <v>2105543</v>
      </c>
      <c r="F8" s="36">
        <v>2408309</v>
      </c>
      <c r="G8" s="13">
        <v>2437524</v>
      </c>
      <c r="H8" s="8" t="s">
        <v>34</v>
      </c>
      <c r="I8" s="16"/>
    </row>
    <row r="9" spans="4:9" x14ac:dyDescent="0.25">
      <c r="D9" s="26">
        <v>77534</v>
      </c>
      <c r="E9" s="6">
        <v>112408</v>
      </c>
      <c r="F9" s="21">
        <v>108895</v>
      </c>
      <c r="G9" s="13">
        <v>265639</v>
      </c>
      <c r="H9" s="27" t="s">
        <v>35</v>
      </c>
      <c r="I9" s="16"/>
    </row>
    <row r="10" spans="4:9" x14ac:dyDescent="0.25">
      <c r="D10" s="26">
        <v>297396</v>
      </c>
      <c r="E10" s="6">
        <v>255869</v>
      </c>
      <c r="F10" s="21">
        <v>342823</v>
      </c>
      <c r="G10" s="13">
        <v>473493</v>
      </c>
      <c r="H10" s="27" t="s">
        <v>36</v>
      </c>
      <c r="I10" s="16"/>
    </row>
    <row r="11" spans="4:9" ht="15.75" thickBot="1" x14ac:dyDescent="0.3">
      <c r="D11" s="28">
        <v>44215324</v>
      </c>
      <c r="E11" s="10">
        <v>42370680</v>
      </c>
      <c r="F11" s="37">
        <v>43051135</v>
      </c>
      <c r="G11" s="14">
        <v>41340645</v>
      </c>
      <c r="H11" s="19" t="s">
        <v>37</v>
      </c>
      <c r="I11" s="17"/>
    </row>
    <row r="12" spans="4:9" x14ac:dyDescent="0.25">
      <c r="D12" s="24">
        <v>40210756</v>
      </c>
      <c r="E12" s="9">
        <v>39953584</v>
      </c>
      <c r="F12" s="12">
        <v>39764446</v>
      </c>
      <c r="G12" s="12">
        <v>38584174</v>
      </c>
      <c r="H12" s="18" t="s">
        <v>38</v>
      </c>
      <c r="I12" s="15" t="s">
        <v>1</v>
      </c>
    </row>
    <row r="13" spans="4:9" ht="20.25" customHeight="1" x14ac:dyDescent="0.25">
      <c r="D13" s="26">
        <v>2102722634</v>
      </c>
      <c r="E13" s="6">
        <v>1974088999</v>
      </c>
      <c r="F13" s="13">
        <v>2274017361</v>
      </c>
      <c r="G13" s="13">
        <v>1998920739</v>
      </c>
      <c r="H13" s="27" t="s">
        <v>68</v>
      </c>
      <c r="I13" s="16"/>
    </row>
    <row r="14" spans="4:9" ht="15.75" thickBot="1" x14ac:dyDescent="0.3">
      <c r="D14" s="29">
        <v>52.292999999999999</v>
      </c>
      <c r="E14" s="19">
        <v>49.41</v>
      </c>
      <c r="F14" s="37">
        <v>57.186999999999998</v>
      </c>
      <c r="G14" s="14">
        <v>51.807000000000002</v>
      </c>
      <c r="H14" s="30" t="s">
        <v>53</v>
      </c>
      <c r="I14" s="17"/>
    </row>
    <row r="15" spans="4:9" x14ac:dyDescent="0.25">
      <c r="D15" s="24"/>
      <c r="E15" s="18"/>
      <c r="F15" s="18"/>
      <c r="G15" s="12"/>
      <c r="H15" s="31" t="s">
        <v>52</v>
      </c>
      <c r="I15" s="15" t="s">
        <v>25</v>
      </c>
    </row>
    <row r="16" spans="4:9" ht="12" customHeight="1" x14ac:dyDescent="0.25">
      <c r="D16" s="25"/>
      <c r="E16" s="8"/>
      <c r="F16" s="8"/>
      <c r="G16" s="13"/>
      <c r="H16" s="27" t="s">
        <v>39</v>
      </c>
      <c r="I16" s="16"/>
    </row>
    <row r="17" spans="4:9" ht="15.75" thickBot="1" x14ac:dyDescent="0.3">
      <c r="D17" s="29"/>
      <c r="E17" s="19"/>
      <c r="F17" s="19"/>
      <c r="G17" s="14"/>
      <c r="H17" s="30" t="s">
        <v>51</v>
      </c>
      <c r="I17" s="17"/>
    </row>
    <row r="18" spans="4:9" x14ac:dyDescent="0.25">
      <c r="D18" s="24">
        <v>374930</v>
      </c>
      <c r="E18" s="9">
        <v>368277</v>
      </c>
      <c r="F18" s="12">
        <v>451718</v>
      </c>
      <c r="G18" s="12">
        <v>739132</v>
      </c>
      <c r="H18" s="31" t="s">
        <v>50</v>
      </c>
      <c r="I18" s="15" t="s">
        <v>29</v>
      </c>
    </row>
    <row r="19" spans="4:9" x14ac:dyDescent="0.25">
      <c r="D19" s="26">
        <v>16970278</v>
      </c>
      <c r="E19" s="6">
        <v>16328609</v>
      </c>
      <c r="F19" s="13">
        <v>21609622</v>
      </c>
      <c r="G19" s="13">
        <v>33943058</v>
      </c>
      <c r="H19" s="27" t="s">
        <v>49</v>
      </c>
      <c r="I19" s="16"/>
    </row>
    <row r="20" spans="4:9" ht="15.75" thickBot="1" x14ac:dyDescent="0.3">
      <c r="D20" s="32">
        <v>45.262</v>
      </c>
      <c r="E20" s="23">
        <v>44.338000000000001</v>
      </c>
      <c r="F20" s="22">
        <v>47.838999999999999</v>
      </c>
      <c r="G20" s="22">
        <v>45.923000000000002</v>
      </c>
      <c r="H20" s="33" t="s">
        <v>48</v>
      </c>
      <c r="I20" s="34"/>
    </row>
    <row r="21" spans="4:9" ht="15.75" thickBot="1" x14ac:dyDescent="0.3">
      <c r="D21" s="24">
        <v>2119692912</v>
      </c>
      <c r="E21" s="9">
        <v>1990417608</v>
      </c>
      <c r="F21" s="12">
        <v>2295626983</v>
      </c>
      <c r="G21" s="12">
        <v>2032863797</v>
      </c>
      <c r="H21" s="31" t="s">
        <v>47</v>
      </c>
      <c r="I21" s="15" t="s">
        <v>4</v>
      </c>
    </row>
    <row r="22" spans="4:9" ht="15.75" thickBot="1" x14ac:dyDescent="0.3">
      <c r="D22" s="24">
        <v>691882270</v>
      </c>
      <c r="E22" s="6">
        <v>62892731</v>
      </c>
      <c r="F22" s="13" t="s">
        <v>65</v>
      </c>
      <c r="G22" s="13">
        <v>45461314</v>
      </c>
      <c r="H22" s="27" t="s">
        <v>46</v>
      </c>
      <c r="I22" s="16"/>
    </row>
    <row r="23" spans="4:9" ht="15.75" thickBot="1" x14ac:dyDescent="0.3">
      <c r="D23" s="24">
        <v>2967942</v>
      </c>
      <c r="E23" s="6">
        <v>450918900</v>
      </c>
      <c r="F23" s="13"/>
      <c r="G23" s="13">
        <v>1121808000</v>
      </c>
      <c r="H23" s="27" t="s">
        <v>62</v>
      </c>
      <c r="I23" s="16"/>
    </row>
    <row r="24" spans="4:9" ht="15.75" thickBot="1" x14ac:dyDescent="0.3">
      <c r="D24" s="24"/>
      <c r="E24" s="6">
        <v>6767835</v>
      </c>
      <c r="F24" s="13">
        <v>6111731</v>
      </c>
      <c r="G24" s="13" t="s">
        <v>63</v>
      </c>
      <c r="H24" s="27" t="s">
        <v>45</v>
      </c>
      <c r="I24" s="16"/>
    </row>
    <row r="25" spans="4:9" ht="15.75" thickBot="1" x14ac:dyDescent="0.3">
      <c r="D25" s="24">
        <v>240975290</v>
      </c>
      <c r="E25" s="6">
        <v>888169759</v>
      </c>
      <c r="F25" s="13">
        <v>651395002</v>
      </c>
      <c r="G25" s="13">
        <v>8596529</v>
      </c>
      <c r="H25" s="27" t="s">
        <v>44</v>
      </c>
      <c r="I25" s="16"/>
    </row>
    <row r="26" spans="4:9" ht="15.75" thickBot="1" x14ac:dyDescent="0.3">
      <c r="D26" s="24">
        <v>87125846</v>
      </c>
      <c r="E26" s="6">
        <v>142627557</v>
      </c>
      <c r="F26" s="13">
        <v>129436293</v>
      </c>
      <c r="G26" s="13">
        <v>756581239</v>
      </c>
      <c r="H26" s="27" t="s">
        <v>55</v>
      </c>
      <c r="I26" s="16"/>
    </row>
    <row r="27" spans="4:9" ht="15.75" thickBot="1" x14ac:dyDescent="0.3">
      <c r="D27" s="24">
        <v>175166726</v>
      </c>
      <c r="E27" s="6">
        <v>174572125</v>
      </c>
      <c r="F27" s="13">
        <v>172578942</v>
      </c>
      <c r="G27" s="13">
        <v>134996619</v>
      </c>
      <c r="H27" s="27" t="s">
        <v>64</v>
      </c>
      <c r="I27" s="16"/>
    </row>
    <row r="28" spans="4:9" ht="15.75" thickBot="1" x14ac:dyDescent="0.3">
      <c r="D28" s="24">
        <v>100000082</v>
      </c>
      <c r="E28" s="6">
        <v>150000080</v>
      </c>
      <c r="F28" s="13">
        <v>50000040</v>
      </c>
      <c r="G28" s="13">
        <v>310000160</v>
      </c>
      <c r="H28" s="27" t="s">
        <v>57</v>
      </c>
      <c r="I28" s="16"/>
    </row>
    <row r="29" spans="4:9" x14ac:dyDescent="0.25">
      <c r="D29" s="24">
        <v>120946401</v>
      </c>
      <c r="E29" s="6">
        <v>78982504</v>
      </c>
      <c r="F29" s="13">
        <v>64767279</v>
      </c>
      <c r="G29" s="13">
        <v>516790247</v>
      </c>
      <c r="H29" s="27" t="s">
        <v>43</v>
      </c>
      <c r="I29" s="16"/>
    </row>
    <row r="30" spans="4:9" x14ac:dyDescent="0.25">
      <c r="D30" s="26"/>
      <c r="E30" s="6">
        <v>3562302</v>
      </c>
      <c r="F30" s="13"/>
      <c r="G30" s="13">
        <v>288644188</v>
      </c>
      <c r="H30" s="27" t="s">
        <v>42</v>
      </c>
      <c r="I30" s="16"/>
    </row>
    <row r="31" spans="4:9" x14ac:dyDescent="0.25">
      <c r="D31" s="26">
        <v>700628355</v>
      </c>
      <c r="E31" s="6">
        <v>1066671681</v>
      </c>
      <c r="F31" s="13">
        <v>1108364145</v>
      </c>
      <c r="G31" s="13">
        <v>1639757444</v>
      </c>
      <c r="H31" s="27" t="s">
        <v>41</v>
      </c>
      <c r="I31" s="16"/>
    </row>
    <row r="38" spans="11:11" x14ac:dyDescent="0.25">
      <c r="K38" t="s">
        <v>54</v>
      </c>
    </row>
    <row r="39" spans="11:11" x14ac:dyDescent="0.25">
      <c r="K39" t="s">
        <v>66</v>
      </c>
    </row>
    <row r="40" spans="11:11" x14ac:dyDescent="0.25">
      <c r="K40" t="s">
        <v>67</v>
      </c>
    </row>
  </sheetData>
  <mergeCells count="1"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L38"/>
  <sheetViews>
    <sheetView tabSelected="1" zoomScale="70" zoomScaleNormal="70" workbookViewId="0">
      <selection activeCell="E4" sqref="E4:J30"/>
    </sheetView>
  </sheetViews>
  <sheetFormatPr defaultRowHeight="15" x14ac:dyDescent="0.25"/>
  <cols>
    <col min="5" max="5" width="37.28515625" bestFit="1" customWidth="1"/>
    <col min="6" max="6" width="34.28515625" bestFit="1" customWidth="1"/>
    <col min="7" max="7" width="34.42578125" bestFit="1" customWidth="1"/>
    <col min="8" max="8" width="48.5703125" customWidth="1"/>
    <col min="9" max="9" width="48.42578125" bestFit="1" customWidth="1"/>
    <col min="10" max="10" width="48.28515625" customWidth="1"/>
  </cols>
  <sheetData>
    <row r="4" spans="5:10" x14ac:dyDescent="0.25">
      <c r="E4" s="100">
        <v>2018</v>
      </c>
      <c r="F4" s="100"/>
      <c r="G4" s="100"/>
      <c r="H4" s="100"/>
      <c r="I4" s="8"/>
      <c r="J4" s="8"/>
    </row>
    <row r="5" spans="5:10" ht="15.75" thickBot="1" x14ac:dyDescent="0.3">
      <c r="E5" s="23" t="s">
        <v>8</v>
      </c>
      <c r="F5" s="23" t="s">
        <v>7</v>
      </c>
      <c r="G5" s="23" t="s">
        <v>6</v>
      </c>
      <c r="H5" s="23" t="s">
        <v>5</v>
      </c>
      <c r="I5" s="23"/>
      <c r="J5" s="23"/>
    </row>
    <row r="6" spans="5:10" x14ac:dyDescent="0.25">
      <c r="E6" s="24">
        <v>39399182</v>
      </c>
      <c r="F6" s="9">
        <v>35246851</v>
      </c>
      <c r="G6" s="20">
        <v>30190384</v>
      </c>
      <c r="H6" s="12">
        <v>133174416</v>
      </c>
      <c r="I6" s="18" t="s">
        <v>32</v>
      </c>
      <c r="J6" s="15" t="s">
        <v>0</v>
      </c>
    </row>
    <row r="7" spans="5:10" x14ac:dyDescent="0.25">
      <c r="E7" s="25"/>
      <c r="F7" s="8"/>
      <c r="G7" s="21"/>
      <c r="H7" s="13">
        <v>0</v>
      </c>
      <c r="I7" s="8" t="s">
        <v>33</v>
      </c>
      <c r="J7" s="16"/>
    </row>
    <row r="8" spans="5:10" x14ac:dyDescent="0.25">
      <c r="E8" s="26">
        <v>1011902</v>
      </c>
      <c r="F8" s="6">
        <v>329820</v>
      </c>
      <c r="G8" s="21">
        <v>278750</v>
      </c>
      <c r="H8" s="13">
        <v>559341</v>
      </c>
      <c r="I8" s="8" t="s">
        <v>34</v>
      </c>
      <c r="J8" s="16"/>
    </row>
    <row r="9" spans="5:10" x14ac:dyDescent="0.25">
      <c r="E9" s="26">
        <v>200296</v>
      </c>
      <c r="F9" s="8"/>
      <c r="G9" s="21"/>
      <c r="H9" s="13">
        <v>609649</v>
      </c>
      <c r="I9" s="27" t="s">
        <v>35</v>
      </c>
      <c r="J9" s="16"/>
    </row>
    <row r="10" spans="5:10" x14ac:dyDescent="0.25">
      <c r="E10" s="26">
        <v>348953</v>
      </c>
      <c r="F10" s="6">
        <v>174761</v>
      </c>
      <c r="G10" s="21">
        <v>957010</v>
      </c>
      <c r="H10" s="13">
        <v>996458</v>
      </c>
      <c r="I10" s="27" t="s">
        <v>36</v>
      </c>
      <c r="J10" s="16"/>
    </row>
    <row r="11" spans="5:10" ht="15.75" thickBot="1" x14ac:dyDescent="0.3">
      <c r="E11" s="28">
        <v>40960333</v>
      </c>
      <c r="F11" s="10">
        <v>35751432</v>
      </c>
      <c r="G11" s="14">
        <v>31426144</v>
      </c>
      <c r="H11" s="14">
        <v>30503447</v>
      </c>
      <c r="I11" s="19" t="s">
        <v>37</v>
      </c>
      <c r="J11" s="17"/>
    </row>
    <row r="12" spans="5:10" x14ac:dyDescent="0.25">
      <c r="E12" s="24">
        <v>39215669</v>
      </c>
      <c r="F12" s="9">
        <v>35667632</v>
      </c>
      <c r="G12" s="12">
        <v>28398248</v>
      </c>
      <c r="H12" s="12">
        <v>28447848</v>
      </c>
      <c r="I12" s="18" t="s">
        <v>38</v>
      </c>
      <c r="J12" s="15" t="s">
        <v>1</v>
      </c>
    </row>
    <row r="13" spans="5:10" ht="30" x14ac:dyDescent="0.25">
      <c r="E13" s="26">
        <v>2125381980</v>
      </c>
      <c r="F13" s="6">
        <v>2250572508</v>
      </c>
      <c r="G13" s="13">
        <v>1784943575</v>
      </c>
      <c r="H13" s="13">
        <v>1559412410</v>
      </c>
      <c r="I13" s="27" t="s">
        <v>39</v>
      </c>
      <c r="J13" s="16"/>
    </row>
    <row r="14" spans="5:10" ht="30.75" thickBot="1" x14ac:dyDescent="0.3">
      <c r="E14" s="29">
        <v>54.197000000000003</v>
      </c>
      <c r="F14" s="19">
        <v>63.097999999999999</v>
      </c>
      <c r="G14" s="14">
        <v>62.853999999999999</v>
      </c>
      <c r="H14" s="14">
        <v>54.817</v>
      </c>
      <c r="I14" s="30" t="s">
        <v>53</v>
      </c>
      <c r="J14" s="17"/>
    </row>
    <row r="15" spans="5:10" x14ac:dyDescent="0.25">
      <c r="E15" s="24"/>
      <c r="F15" s="18"/>
      <c r="G15" s="18"/>
      <c r="H15" s="12">
        <v>408277</v>
      </c>
      <c r="I15" s="31" t="s">
        <v>52</v>
      </c>
      <c r="J15" s="15" t="s">
        <v>25</v>
      </c>
    </row>
    <row r="16" spans="5:10" ht="30" x14ac:dyDescent="0.25">
      <c r="E16" s="25"/>
      <c r="F16" s="8"/>
      <c r="G16" s="8"/>
      <c r="H16" s="13">
        <v>20117037</v>
      </c>
      <c r="I16" s="27" t="s">
        <v>39</v>
      </c>
      <c r="J16" s="16"/>
    </row>
    <row r="17" spans="5:12" ht="15.75" thickBot="1" x14ac:dyDescent="0.3">
      <c r="E17" s="29"/>
      <c r="F17" s="19"/>
      <c r="G17" s="19"/>
      <c r="H17" s="14">
        <v>49.273000000000003</v>
      </c>
      <c r="I17" s="30" t="s">
        <v>51</v>
      </c>
      <c r="J17" s="17"/>
    </row>
    <row r="18" spans="5:12" ht="30" x14ac:dyDescent="0.25">
      <c r="E18" s="24">
        <v>549249</v>
      </c>
      <c r="F18" s="9">
        <v>174761</v>
      </c>
      <c r="G18" s="12">
        <v>957010</v>
      </c>
      <c r="H18" s="12">
        <v>1606107</v>
      </c>
      <c r="I18" s="31" t="s">
        <v>50</v>
      </c>
      <c r="J18" s="15" t="s">
        <v>29</v>
      </c>
    </row>
    <row r="19" spans="5:12" x14ac:dyDescent="0.25">
      <c r="E19" s="26">
        <v>24427775</v>
      </c>
      <c r="F19" s="6">
        <v>11837276</v>
      </c>
      <c r="G19" s="13">
        <v>53874980</v>
      </c>
      <c r="H19" s="13">
        <v>84179334</v>
      </c>
      <c r="I19" s="27" t="s">
        <v>49</v>
      </c>
      <c r="J19" s="16"/>
    </row>
    <row r="20" spans="5:12" ht="15.75" thickBot="1" x14ac:dyDescent="0.3">
      <c r="E20" s="32">
        <v>44.475000000000001</v>
      </c>
      <c r="F20" s="23">
        <v>67.733999999999995</v>
      </c>
      <c r="G20" s="22">
        <v>56.295000000000002</v>
      </c>
      <c r="H20" s="22">
        <v>52.411999999999999</v>
      </c>
      <c r="I20" s="33" t="s">
        <v>48</v>
      </c>
      <c r="J20" s="34"/>
    </row>
    <row r="21" spans="5:12" ht="30" x14ac:dyDescent="0.25">
      <c r="E21" s="24">
        <v>2149809755</v>
      </c>
      <c r="F21" s="9">
        <v>2262409784</v>
      </c>
      <c r="G21" s="12">
        <v>1838818555</v>
      </c>
      <c r="H21" s="12">
        <v>1663708781</v>
      </c>
      <c r="I21" s="31" t="s">
        <v>47</v>
      </c>
      <c r="J21" s="15" t="s">
        <v>4</v>
      </c>
    </row>
    <row r="22" spans="5:12" ht="30" x14ac:dyDescent="0.25">
      <c r="E22" s="26">
        <v>91569430</v>
      </c>
      <c r="F22" s="6">
        <v>181385298</v>
      </c>
      <c r="G22" s="13">
        <v>201654971</v>
      </c>
      <c r="H22" s="13">
        <v>428760513</v>
      </c>
      <c r="I22" s="27" t="s">
        <v>46</v>
      </c>
      <c r="J22" s="16"/>
    </row>
    <row r="23" spans="5:12" x14ac:dyDescent="0.25">
      <c r="E23" s="26">
        <v>9913068</v>
      </c>
      <c r="F23" s="6">
        <v>7597119</v>
      </c>
      <c r="G23" s="13">
        <v>9213610</v>
      </c>
      <c r="H23" s="13" t="s">
        <v>40</v>
      </c>
      <c r="I23" s="27" t="s">
        <v>45</v>
      </c>
      <c r="J23" s="16"/>
    </row>
    <row r="24" spans="5:12" x14ac:dyDescent="0.25">
      <c r="E24" s="26">
        <v>782195553</v>
      </c>
      <c r="F24" s="6">
        <v>616149067</v>
      </c>
      <c r="G24" s="13">
        <v>549528356</v>
      </c>
      <c r="H24" s="13">
        <v>459263330</v>
      </c>
      <c r="I24" s="27" t="s">
        <v>44</v>
      </c>
      <c r="J24" s="16"/>
    </row>
    <row r="25" spans="5:12" x14ac:dyDescent="0.25">
      <c r="E25" s="26">
        <v>135581373</v>
      </c>
      <c r="F25" s="6">
        <v>108094863</v>
      </c>
      <c r="G25" s="13" t="s">
        <v>56</v>
      </c>
      <c r="H25" s="13"/>
      <c r="I25" s="27" t="s">
        <v>55</v>
      </c>
      <c r="J25" s="16"/>
    </row>
    <row r="26" spans="5:12" ht="30" x14ac:dyDescent="0.25">
      <c r="E26" s="26">
        <v>275000160</v>
      </c>
      <c r="F26" s="6">
        <v>115000060</v>
      </c>
      <c r="G26" s="13">
        <v>200000060</v>
      </c>
      <c r="H26" s="13"/>
      <c r="I26" s="27" t="s">
        <v>57</v>
      </c>
      <c r="J26" s="16"/>
    </row>
    <row r="27" spans="5:12" ht="30" x14ac:dyDescent="0.25">
      <c r="E27" s="25" t="s">
        <v>61</v>
      </c>
      <c r="F27" s="6">
        <v>80696865</v>
      </c>
      <c r="G27" s="13">
        <v>70953536</v>
      </c>
      <c r="H27" s="13">
        <v>336819106</v>
      </c>
      <c r="I27" s="27" t="s">
        <v>43</v>
      </c>
      <c r="J27" s="16"/>
    </row>
    <row r="28" spans="5:12" ht="30" x14ac:dyDescent="0.25">
      <c r="E28" s="26">
        <v>311717533</v>
      </c>
      <c r="F28" s="6">
        <v>135286862</v>
      </c>
      <c r="G28" s="13">
        <v>197795251</v>
      </c>
      <c r="H28" s="13">
        <v>223455047</v>
      </c>
      <c r="I28" s="27" t="s">
        <v>42</v>
      </c>
      <c r="J28" s="16"/>
    </row>
    <row r="29" spans="5:12" ht="30" x14ac:dyDescent="0.25">
      <c r="E29" s="26">
        <v>1096478527</v>
      </c>
      <c r="F29" s="6">
        <v>1288773374</v>
      </c>
      <c r="G29" s="13">
        <v>1309899906</v>
      </c>
      <c r="H29" s="13">
        <v>648589443</v>
      </c>
      <c r="I29" s="27" t="s">
        <v>41</v>
      </c>
      <c r="J29" s="16"/>
    </row>
    <row r="30" spans="5:12" ht="30.75" thickBot="1" x14ac:dyDescent="0.3">
      <c r="E30" s="28">
        <v>86000000</v>
      </c>
      <c r="F30" s="10">
        <v>104598002</v>
      </c>
      <c r="G30" s="14"/>
      <c r="H30" s="14"/>
      <c r="I30" s="30" t="s">
        <v>60</v>
      </c>
      <c r="J30" s="17"/>
    </row>
    <row r="31" spans="5:12" x14ac:dyDescent="0.25">
      <c r="E31" s="3"/>
      <c r="F31" s="3"/>
      <c r="G31" s="3"/>
      <c r="H31" s="4"/>
      <c r="I31" s="5"/>
      <c r="J31" s="3"/>
    </row>
    <row r="32" spans="5:12" x14ac:dyDescent="0.25">
      <c r="H32" s="2"/>
      <c r="I32" s="1"/>
      <c r="K32" t="s">
        <v>2</v>
      </c>
      <c r="L32" t="s">
        <v>24</v>
      </c>
    </row>
    <row r="33" spans="8:12" x14ac:dyDescent="0.25">
      <c r="H33" s="2"/>
      <c r="I33" s="1"/>
      <c r="K33" t="s">
        <v>3</v>
      </c>
      <c r="L33" t="s">
        <v>26</v>
      </c>
    </row>
    <row r="34" spans="8:12" x14ac:dyDescent="0.25">
      <c r="H34" s="2"/>
      <c r="I34" s="1"/>
      <c r="K34" t="s">
        <v>27</v>
      </c>
      <c r="L34" t="s">
        <v>28</v>
      </c>
    </row>
    <row r="35" spans="8:12" x14ac:dyDescent="0.25">
      <c r="K35" t="s">
        <v>30</v>
      </c>
      <c r="L35" t="s">
        <v>31</v>
      </c>
    </row>
    <row r="37" spans="8:12" x14ac:dyDescent="0.25">
      <c r="K37" t="s">
        <v>54</v>
      </c>
      <c r="L37" t="s">
        <v>58</v>
      </c>
    </row>
    <row r="38" spans="8:12" x14ac:dyDescent="0.25">
      <c r="L38" t="s">
        <v>59</v>
      </c>
    </row>
  </sheetData>
  <mergeCells count="1">
    <mergeCell ref="E4:H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9"/>
  <sheetViews>
    <sheetView workbookViewId="0">
      <selection activeCell="B3" sqref="B3"/>
    </sheetView>
  </sheetViews>
  <sheetFormatPr defaultRowHeight="15" x14ac:dyDescent="0.25"/>
  <cols>
    <col min="1" max="1" width="13.140625" customWidth="1"/>
    <col min="2" max="2" width="47.7109375" customWidth="1"/>
    <col min="3" max="3" width="47.5703125" customWidth="1"/>
    <col min="4" max="4" width="58.7109375" customWidth="1"/>
  </cols>
  <sheetData>
    <row r="3" spans="1:3" x14ac:dyDescent="0.25">
      <c r="A3" s="42" t="s">
        <v>145</v>
      </c>
      <c r="B3" t="s">
        <v>163</v>
      </c>
      <c r="C3" t="s">
        <v>162</v>
      </c>
    </row>
    <row r="4" spans="1:3" x14ac:dyDescent="0.25">
      <c r="A4" s="43">
        <v>2018</v>
      </c>
      <c r="B4" s="44">
        <v>40.419666666666664</v>
      </c>
      <c r="C4" s="44">
        <v>63.370666666666665</v>
      </c>
    </row>
    <row r="5" spans="1:3" x14ac:dyDescent="0.25">
      <c r="A5" s="45" t="s">
        <v>156</v>
      </c>
      <c r="B5" s="46">
        <v>12.136333333333333</v>
      </c>
      <c r="C5" s="46">
        <v>14.541333333333334</v>
      </c>
    </row>
    <row r="6" spans="1:3" x14ac:dyDescent="0.25">
      <c r="A6" s="45" t="s">
        <v>157</v>
      </c>
      <c r="B6" s="46">
        <v>11.635999999999996</v>
      </c>
      <c r="C6" s="46">
        <v>18.194999999999993</v>
      </c>
    </row>
    <row r="7" spans="1:3" x14ac:dyDescent="0.25">
      <c r="A7" s="45" t="s">
        <v>158</v>
      </c>
      <c r="B7" s="46">
        <v>12.378666666666675</v>
      </c>
      <c r="C7" s="46">
        <v>7.742666666666679</v>
      </c>
    </row>
    <row r="8" spans="1:3" x14ac:dyDescent="0.25">
      <c r="A8" s="45" t="s">
        <v>159</v>
      </c>
      <c r="B8" s="46">
        <v>4.2686666666666611</v>
      </c>
      <c r="C8" s="46">
        <v>22.891666666666659</v>
      </c>
    </row>
    <row r="9" spans="1:3" x14ac:dyDescent="0.25">
      <c r="A9" s="43">
        <v>2019</v>
      </c>
      <c r="B9" s="44">
        <v>45.429666666666677</v>
      </c>
      <c r="C9" s="44">
        <v>72.76466666666667</v>
      </c>
    </row>
    <row r="10" spans="1:3" x14ac:dyDescent="0.25">
      <c r="A10" s="45" t="s">
        <v>156</v>
      </c>
      <c r="B10" s="46">
        <v>11.463000000000001</v>
      </c>
      <c r="C10" s="46">
        <v>17.347000000000001</v>
      </c>
    </row>
    <row r="11" spans="1:3" x14ac:dyDescent="0.25">
      <c r="A11" s="45" t="s">
        <v>157</v>
      </c>
      <c r="B11" s="46">
        <v>11.15633333333335</v>
      </c>
      <c r="C11" s="46">
        <v>20.504333333333349</v>
      </c>
    </row>
    <row r="12" spans="1:3" x14ac:dyDescent="0.25">
      <c r="A12" s="45" t="s">
        <v>158</v>
      </c>
      <c r="B12" s="46">
        <v>12.449999999999996</v>
      </c>
      <c r="C12" s="46">
        <v>17.521999999999991</v>
      </c>
    </row>
    <row r="13" spans="1:3" x14ac:dyDescent="0.25">
      <c r="A13" s="45" t="s">
        <v>159</v>
      </c>
      <c r="B13" s="46">
        <v>10.36033333333333</v>
      </c>
      <c r="C13" s="46">
        <v>17.391333333333328</v>
      </c>
    </row>
    <row r="14" spans="1:3" x14ac:dyDescent="0.25">
      <c r="A14" s="43">
        <v>2020</v>
      </c>
      <c r="B14" s="44">
        <v>57.643999999999991</v>
      </c>
      <c r="C14" s="44">
        <v>-0.62433333333333962</v>
      </c>
    </row>
    <row r="15" spans="1:3" x14ac:dyDescent="0.25">
      <c r="A15" s="45" t="s">
        <v>156</v>
      </c>
      <c r="B15" s="46">
        <v>18.930666666666664</v>
      </c>
      <c r="C15" s="46">
        <v>-0.62433333333333962</v>
      </c>
    </row>
    <row r="16" spans="1:3" x14ac:dyDescent="0.25">
      <c r="A16" s="45" t="s">
        <v>157</v>
      </c>
      <c r="B16" s="46">
        <v>15.648999999999996</v>
      </c>
      <c r="C16" s="46"/>
    </row>
    <row r="17" spans="1:3" x14ac:dyDescent="0.25">
      <c r="A17" s="45" t="s">
        <v>158</v>
      </c>
      <c r="B17" s="46">
        <v>11.050999999999998</v>
      </c>
      <c r="C17" s="46"/>
    </row>
    <row r="18" spans="1:3" x14ac:dyDescent="0.25">
      <c r="A18" s="45" t="s">
        <v>159</v>
      </c>
      <c r="B18" s="46">
        <v>12.013333333333335</v>
      </c>
      <c r="C18" s="46"/>
    </row>
    <row r="19" spans="1:3" x14ac:dyDescent="0.25">
      <c r="A19" s="43">
        <v>2021</v>
      </c>
      <c r="B19" s="44">
        <v>43.808333333333316</v>
      </c>
      <c r="C19" s="44">
        <v>52.514333333333333</v>
      </c>
    </row>
    <row r="20" spans="1:3" x14ac:dyDescent="0.25">
      <c r="A20" s="45" t="s">
        <v>156</v>
      </c>
      <c r="B20" s="46">
        <v>11.605666666666664</v>
      </c>
      <c r="C20" s="46">
        <v>1.0926666666666662</v>
      </c>
    </row>
    <row r="21" spans="1:3" x14ac:dyDescent="0.25">
      <c r="A21" s="45" t="s">
        <v>157</v>
      </c>
      <c r="B21" s="46">
        <v>10.920666666666662</v>
      </c>
      <c r="C21" s="46">
        <v>4.4276666666666671</v>
      </c>
    </row>
    <row r="22" spans="1:3" x14ac:dyDescent="0.25">
      <c r="A22" s="45" t="s">
        <v>158</v>
      </c>
      <c r="B22" s="46">
        <v>10.135333333333328</v>
      </c>
      <c r="C22" s="46">
        <v>23.158333333333331</v>
      </c>
    </row>
    <row r="23" spans="1:3" x14ac:dyDescent="0.25">
      <c r="A23" s="45" t="s">
        <v>159</v>
      </c>
      <c r="B23" s="46">
        <v>11.146666666666661</v>
      </c>
      <c r="C23" s="46">
        <v>23.835666666666668</v>
      </c>
    </row>
    <row r="24" spans="1:3" x14ac:dyDescent="0.25">
      <c r="A24" s="43">
        <v>2022</v>
      </c>
      <c r="B24" s="44">
        <v>24.585333333333324</v>
      </c>
      <c r="C24" s="44">
        <v>73.387333333333331</v>
      </c>
    </row>
    <row r="25" spans="1:3" x14ac:dyDescent="0.25">
      <c r="A25" s="45" t="s">
        <v>156</v>
      </c>
      <c r="B25" s="46">
        <v>12.22999999999999</v>
      </c>
      <c r="C25" s="46">
        <v>14.72999999999999</v>
      </c>
    </row>
    <row r="26" spans="1:3" x14ac:dyDescent="0.25">
      <c r="A26" s="45" t="s">
        <v>157</v>
      </c>
      <c r="B26" s="46">
        <v>12.355333333333334</v>
      </c>
      <c r="C26" s="46">
        <v>58.657333333333341</v>
      </c>
    </row>
    <row r="27" spans="1:3" x14ac:dyDescent="0.25">
      <c r="A27" s="45" t="s">
        <v>158</v>
      </c>
      <c r="B27" s="46"/>
      <c r="C27" s="46"/>
    </row>
    <row r="28" spans="1:3" x14ac:dyDescent="0.25">
      <c r="A28" s="45" t="s">
        <v>159</v>
      </c>
      <c r="B28" s="46"/>
      <c r="C28" s="46"/>
    </row>
    <row r="29" spans="1:3" x14ac:dyDescent="0.25">
      <c r="A29" s="43" t="s">
        <v>146</v>
      </c>
      <c r="B29" s="44">
        <v>211.88699999999994</v>
      </c>
      <c r="C29" s="44">
        <v>261.41266666666667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28"/>
  <sheetViews>
    <sheetView workbookViewId="0">
      <selection activeCell="D56" sqref="D56"/>
    </sheetView>
  </sheetViews>
  <sheetFormatPr defaultRowHeight="15" x14ac:dyDescent="0.25"/>
  <cols>
    <col min="1" max="1" width="13.140625" customWidth="1"/>
    <col min="2" max="2" width="31.28515625" customWidth="1"/>
    <col min="3" max="3" width="52.42578125" customWidth="1"/>
    <col min="4" max="4" width="58.7109375" customWidth="1"/>
  </cols>
  <sheetData>
    <row r="3" spans="1:4" x14ac:dyDescent="0.25">
      <c r="A3" s="42" t="s">
        <v>145</v>
      </c>
      <c r="B3" t="s">
        <v>147</v>
      </c>
      <c r="C3" t="s">
        <v>160</v>
      </c>
      <c r="D3" t="s">
        <v>161</v>
      </c>
    </row>
    <row r="4" spans="1:4" x14ac:dyDescent="0.25">
      <c r="A4" s="43" t="s">
        <v>156</v>
      </c>
      <c r="B4" s="44">
        <v>340.27666666666664</v>
      </c>
      <c r="C4" s="44">
        <v>273.911</v>
      </c>
      <c r="D4" s="44">
        <v>293.19</v>
      </c>
    </row>
    <row r="5" spans="1:4" x14ac:dyDescent="0.25">
      <c r="A5" s="45">
        <v>2018</v>
      </c>
      <c r="B5" s="46">
        <v>66.953333333333333</v>
      </c>
      <c r="C5" s="46">
        <v>54.817</v>
      </c>
      <c r="D5" s="46">
        <v>52.411999999999999</v>
      </c>
    </row>
    <row r="6" spans="1:4" x14ac:dyDescent="0.25">
      <c r="A6" s="45">
        <v>2019</v>
      </c>
      <c r="B6" s="46">
        <v>63.27</v>
      </c>
      <c r="C6" s="46">
        <v>51.807000000000002</v>
      </c>
      <c r="D6" s="46">
        <v>45.923000000000002</v>
      </c>
    </row>
    <row r="7" spans="1:4" x14ac:dyDescent="0.25">
      <c r="A7" s="45">
        <v>2020</v>
      </c>
      <c r="B7" s="46">
        <v>50.526666666666664</v>
      </c>
      <c r="C7" s="46">
        <v>31.596</v>
      </c>
      <c r="D7" s="46">
        <v>51.151000000000003</v>
      </c>
    </row>
    <row r="8" spans="1:4" x14ac:dyDescent="0.25">
      <c r="A8" s="45">
        <v>2021</v>
      </c>
      <c r="B8" s="46">
        <v>60.566666666666663</v>
      </c>
      <c r="C8" s="46">
        <v>48.960999999999999</v>
      </c>
      <c r="D8" s="46">
        <v>59.473999999999997</v>
      </c>
    </row>
    <row r="9" spans="1:4" x14ac:dyDescent="0.25">
      <c r="A9" s="45">
        <v>2022</v>
      </c>
      <c r="B9" s="46">
        <v>98.96</v>
      </c>
      <c r="C9" s="46">
        <v>86.73</v>
      </c>
      <c r="D9" s="46">
        <v>84.23</v>
      </c>
    </row>
    <row r="10" spans="1:4" x14ac:dyDescent="0.25">
      <c r="A10" s="43" t="s">
        <v>157</v>
      </c>
      <c r="B10" s="46">
        <v>355.63333333333333</v>
      </c>
      <c r="C10" s="46">
        <v>293.91600000000005</v>
      </c>
      <c r="D10" s="46">
        <v>222.41899999999998</v>
      </c>
    </row>
    <row r="11" spans="1:4" x14ac:dyDescent="0.25">
      <c r="A11" s="45">
        <v>2018</v>
      </c>
      <c r="B11" s="46">
        <v>74.489999999999995</v>
      </c>
      <c r="C11" s="46">
        <v>62.853999999999999</v>
      </c>
      <c r="D11" s="46">
        <v>56.295000000000002</v>
      </c>
    </row>
    <row r="12" spans="1:4" x14ac:dyDescent="0.25">
      <c r="A12" s="45">
        <v>2019</v>
      </c>
      <c r="B12" s="46">
        <v>68.343333333333348</v>
      </c>
      <c r="C12" s="46">
        <v>57.186999999999998</v>
      </c>
      <c r="D12" s="46">
        <v>47.838999999999999</v>
      </c>
    </row>
    <row r="13" spans="1:4" x14ac:dyDescent="0.25">
      <c r="A13" s="45">
        <v>2020</v>
      </c>
      <c r="B13" s="46">
        <v>31.429999999999996</v>
      </c>
      <c r="C13" s="46">
        <v>15.781000000000001</v>
      </c>
      <c r="D13" s="46"/>
    </row>
    <row r="14" spans="1:4" x14ac:dyDescent="0.25">
      <c r="A14" s="45">
        <v>2021</v>
      </c>
      <c r="B14" s="46">
        <v>68.626666666666665</v>
      </c>
      <c r="C14" s="46">
        <v>57.706000000000003</v>
      </c>
      <c r="D14" s="46">
        <v>64.198999999999998</v>
      </c>
    </row>
    <row r="15" spans="1:4" x14ac:dyDescent="0.25">
      <c r="A15" s="45">
        <v>2022</v>
      </c>
      <c r="B15" s="46">
        <v>112.74333333333334</v>
      </c>
      <c r="C15" s="46">
        <v>100.38800000000001</v>
      </c>
      <c r="D15" s="46">
        <v>54.085999999999999</v>
      </c>
    </row>
    <row r="16" spans="1:4" x14ac:dyDescent="0.25">
      <c r="A16" s="43" t="s">
        <v>158</v>
      </c>
      <c r="B16" s="46">
        <v>352.28666666666663</v>
      </c>
      <c r="C16" s="46">
        <v>207.04499999999999</v>
      </c>
      <c r="D16" s="46">
        <v>161.917</v>
      </c>
    </row>
    <row r="17" spans="1:4" x14ac:dyDescent="0.25">
      <c r="A17" s="45">
        <v>2018</v>
      </c>
      <c r="B17" s="46">
        <v>75.476666666666674</v>
      </c>
      <c r="C17" s="46">
        <v>63.097999999999999</v>
      </c>
      <c r="D17" s="46">
        <v>67.733999999999995</v>
      </c>
    </row>
    <row r="18" spans="1:4" x14ac:dyDescent="0.25">
      <c r="A18" s="45">
        <v>2019</v>
      </c>
      <c r="B18" s="46">
        <v>61.859999999999992</v>
      </c>
      <c r="C18" s="46">
        <v>49.41</v>
      </c>
      <c r="D18" s="46">
        <v>44.338000000000001</v>
      </c>
    </row>
    <row r="19" spans="1:4" x14ac:dyDescent="0.25">
      <c r="A19" s="45">
        <v>2020</v>
      </c>
      <c r="B19" s="46">
        <v>42.72</v>
      </c>
      <c r="C19" s="46">
        <v>31.669</v>
      </c>
      <c r="D19" s="46"/>
    </row>
    <row r="20" spans="1:4" x14ac:dyDescent="0.25">
      <c r="A20" s="45">
        <v>2021</v>
      </c>
      <c r="B20" s="46">
        <v>73.00333333333333</v>
      </c>
      <c r="C20" s="46">
        <v>62.868000000000002</v>
      </c>
      <c r="D20" s="46">
        <v>49.844999999999999</v>
      </c>
    </row>
    <row r="21" spans="1:4" x14ac:dyDescent="0.25">
      <c r="A21" s="45">
        <v>2022</v>
      </c>
      <c r="B21" s="46">
        <v>99.226666666666645</v>
      </c>
      <c r="C21" s="46"/>
      <c r="D21" s="46"/>
    </row>
    <row r="22" spans="1:4" x14ac:dyDescent="0.25">
      <c r="A22" s="43" t="s">
        <v>159</v>
      </c>
      <c r="B22" s="46">
        <v>342.48666666666668</v>
      </c>
      <c r="C22" s="46">
        <v>216.33099999999999</v>
      </c>
      <c r="D22" s="46">
        <v>145.47800000000001</v>
      </c>
    </row>
    <row r="23" spans="1:4" x14ac:dyDescent="0.25">
      <c r="A23" s="45">
        <v>2018</v>
      </c>
      <c r="B23" s="46">
        <v>67.36666666666666</v>
      </c>
      <c r="C23" s="46">
        <v>63.097999999999999</v>
      </c>
      <c r="D23" s="46">
        <v>44.475000000000001</v>
      </c>
    </row>
    <row r="24" spans="1:4" x14ac:dyDescent="0.25">
      <c r="A24" s="45">
        <v>2019</v>
      </c>
      <c r="B24" s="46">
        <v>62.653333333333329</v>
      </c>
      <c r="C24" s="46">
        <v>52.292999999999999</v>
      </c>
      <c r="D24" s="46">
        <v>45.262</v>
      </c>
    </row>
    <row r="25" spans="1:4" x14ac:dyDescent="0.25">
      <c r="A25" s="45">
        <v>2020</v>
      </c>
      <c r="B25" s="46">
        <v>44.523333333333333</v>
      </c>
      <c r="C25" s="46">
        <v>32.51</v>
      </c>
      <c r="D25" s="46"/>
    </row>
    <row r="26" spans="1:4" x14ac:dyDescent="0.25">
      <c r="A26" s="45">
        <v>2021</v>
      </c>
      <c r="B26" s="46">
        <v>79.576666666666668</v>
      </c>
      <c r="C26" s="46">
        <v>68.430000000000007</v>
      </c>
      <c r="D26" s="46">
        <v>55.741</v>
      </c>
    </row>
    <row r="27" spans="1:4" x14ac:dyDescent="0.25">
      <c r="A27" s="45">
        <v>2022</v>
      </c>
      <c r="B27" s="46">
        <v>88.366666666666674</v>
      </c>
      <c r="C27" s="46"/>
      <c r="D27" s="46"/>
    </row>
    <row r="28" spans="1:4" x14ac:dyDescent="0.25">
      <c r="A28" s="43" t="s">
        <v>146</v>
      </c>
      <c r="B28" s="44">
        <v>1390.6833333333334</v>
      </c>
      <c r="C28" s="44">
        <v>991.20299999999997</v>
      </c>
      <c r="D28" s="44">
        <v>823.00400000000013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5:S65"/>
  <sheetViews>
    <sheetView workbookViewId="0">
      <selection activeCell="N31" sqref="N31"/>
    </sheetView>
  </sheetViews>
  <sheetFormatPr defaultRowHeight="15" x14ac:dyDescent="0.25"/>
  <cols>
    <col min="15" max="15" width="27" customWidth="1"/>
    <col min="16" max="16" width="45.7109375" bestFit="1" customWidth="1"/>
    <col min="17" max="17" width="31.42578125" bestFit="1" customWidth="1"/>
    <col min="18" max="18" width="17.85546875" bestFit="1" customWidth="1"/>
  </cols>
  <sheetData>
    <row r="5" spans="4:19" x14ac:dyDescent="0.25">
      <c r="D5" t="s">
        <v>141</v>
      </c>
      <c r="E5" t="s">
        <v>140</v>
      </c>
      <c r="F5" t="s">
        <v>142</v>
      </c>
    </row>
    <row r="6" spans="4:19" x14ac:dyDescent="0.25">
      <c r="D6" t="s">
        <v>80</v>
      </c>
      <c r="E6">
        <v>68.989999999999995</v>
      </c>
      <c r="F6">
        <f>AVERAGE(E6:E8)</f>
        <v>66.953333333333333</v>
      </c>
    </row>
    <row r="7" spans="4:19" ht="15.75" thickBot="1" x14ac:dyDescent="0.3">
      <c r="D7" t="s">
        <v>81</v>
      </c>
      <c r="E7">
        <v>65.42</v>
      </c>
    </row>
    <row r="8" spans="4:19" ht="110.25" x14ac:dyDescent="0.25">
      <c r="D8" t="s">
        <v>82</v>
      </c>
      <c r="E8">
        <v>66.45</v>
      </c>
      <c r="M8" s="59" t="s">
        <v>155</v>
      </c>
      <c r="N8" s="58" t="s">
        <v>164</v>
      </c>
      <c r="O8" s="58" t="s">
        <v>154</v>
      </c>
      <c r="P8" s="58" t="s">
        <v>153</v>
      </c>
      <c r="Q8" s="58" t="s">
        <v>144</v>
      </c>
      <c r="R8" s="49" t="s">
        <v>152</v>
      </c>
      <c r="S8" s="50" t="s">
        <v>143</v>
      </c>
    </row>
    <row r="9" spans="4:19" ht="15.75" x14ac:dyDescent="0.25">
      <c r="D9" t="s">
        <v>83</v>
      </c>
      <c r="E9">
        <v>71.63</v>
      </c>
      <c r="F9">
        <f>AVERAGE(E9:E11)</f>
        <v>74.489999999999995</v>
      </c>
      <c r="M9" s="51">
        <f>Q9-O9</f>
        <v>14.541333333333334</v>
      </c>
      <c r="N9" s="48">
        <f t="shared" ref="N9:N26" si="0">Q9-P9</f>
        <v>12.136333333333333</v>
      </c>
      <c r="O9" s="47">
        <v>52.411999999999999</v>
      </c>
      <c r="P9" s="47">
        <v>54.817</v>
      </c>
      <c r="Q9" s="48">
        <v>66.953333333333333</v>
      </c>
      <c r="R9" s="47" t="s">
        <v>156</v>
      </c>
      <c r="S9" s="52">
        <v>2018</v>
      </c>
    </row>
    <row r="10" spans="4:19" ht="15.75" x14ac:dyDescent="0.25">
      <c r="D10" t="s">
        <v>84</v>
      </c>
      <c r="E10">
        <v>76.650000000000006</v>
      </c>
      <c r="M10" s="51">
        <f t="shared" ref="M10:M26" si="1">Q10-O10</f>
        <v>18.194999999999993</v>
      </c>
      <c r="N10" s="48">
        <f t="shared" si="0"/>
        <v>11.635999999999996</v>
      </c>
      <c r="O10" s="47">
        <v>56.295000000000002</v>
      </c>
      <c r="P10" s="47">
        <v>62.853999999999999</v>
      </c>
      <c r="Q10" s="48">
        <v>74.489999999999995</v>
      </c>
      <c r="R10" s="47" t="s">
        <v>157</v>
      </c>
      <c r="S10" s="52">
        <v>2018</v>
      </c>
    </row>
    <row r="11" spans="4:19" ht="15.75" x14ac:dyDescent="0.25">
      <c r="D11" t="s">
        <v>85</v>
      </c>
      <c r="E11">
        <v>75.19</v>
      </c>
      <c r="M11" s="51">
        <f t="shared" si="1"/>
        <v>7.742666666666679</v>
      </c>
      <c r="N11" s="48">
        <f t="shared" si="0"/>
        <v>12.378666666666675</v>
      </c>
      <c r="O11" s="47">
        <v>67.733999999999995</v>
      </c>
      <c r="P11" s="47">
        <v>63.097999999999999</v>
      </c>
      <c r="Q11" s="48">
        <v>75.476666666666674</v>
      </c>
      <c r="R11" s="47" t="s">
        <v>158</v>
      </c>
      <c r="S11" s="52">
        <v>2018</v>
      </c>
    </row>
    <row r="12" spans="4:19" ht="15.75" x14ac:dyDescent="0.25">
      <c r="D12" t="s">
        <v>86</v>
      </c>
      <c r="E12">
        <v>74.44</v>
      </c>
      <c r="F12">
        <f>AVERAGE(E12:E14)</f>
        <v>75.476666666666674</v>
      </c>
      <c r="M12" s="51">
        <f t="shared" si="1"/>
        <v>22.891666666666659</v>
      </c>
      <c r="N12" s="48">
        <f t="shared" si="0"/>
        <v>4.2686666666666611</v>
      </c>
      <c r="O12" s="47">
        <v>44.475000000000001</v>
      </c>
      <c r="P12" s="47">
        <v>63.097999999999999</v>
      </c>
      <c r="Q12" s="48">
        <v>67.36666666666666</v>
      </c>
      <c r="R12" s="47" t="s">
        <v>159</v>
      </c>
      <c r="S12" s="52">
        <v>2018</v>
      </c>
    </row>
    <row r="13" spans="4:19" ht="15.75" x14ac:dyDescent="0.25">
      <c r="D13" t="s">
        <v>87</v>
      </c>
      <c r="E13">
        <v>73.13</v>
      </c>
      <c r="M13" s="51">
        <f t="shared" si="1"/>
        <v>17.347000000000001</v>
      </c>
      <c r="N13" s="48">
        <f t="shared" si="0"/>
        <v>11.463000000000001</v>
      </c>
      <c r="O13" s="47">
        <v>45.923000000000002</v>
      </c>
      <c r="P13" s="47">
        <v>51.807000000000002</v>
      </c>
      <c r="Q13" s="48">
        <v>63.27</v>
      </c>
      <c r="R13" s="47" t="s">
        <v>156</v>
      </c>
      <c r="S13" s="52">
        <v>2019</v>
      </c>
    </row>
    <row r="14" spans="4:19" ht="15.75" x14ac:dyDescent="0.25">
      <c r="D14" t="s">
        <v>88</v>
      </c>
      <c r="E14">
        <v>78.86</v>
      </c>
      <c r="M14" s="51">
        <f t="shared" si="1"/>
        <v>20.504333333333349</v>
      </c>
      <c r="N14" s="48">
        <f t="shared" si="0"/>
        <v>11.15633333333335</v>
      </c>
      <c r="O14" s="47">
        <v>47.838999999999999</v>
      </c>
      <c r="P14" s="47">
        <v>57.186999999999998</v>
      </c>
      <c r="Q14" s="48">
        <v>68.343333333333348</v>
      </c>
      <c r="R14" s="47" t="s">
        <v>157</v>
      </c>
      <c r="S14" s="52">
        <v>2019</v>
      </c>
    </row>
    <row r="15" spans="4:19" ht="15.75" x14ac:dyDescent="0.25">
      <c r="D15" t="s">
        <v>89</v>
      </c>
      <c r="E15">
        <v>80.47</v>
      </c>
      <c r="F15">
        <f>AVERAGE(E15:E17)</f>
        <v>67.36666666666666</v>
      </c>
      <c r="M15" s="51">
        <f t="shared" si="1"/>
        <v>17.521999999999991</v>
      </c>
      <c r="N15" s="48">
        <f t="shared" si="0"/>
        <v>12.449999999999996</v>
      </c>
      <c r="O15" s="47">
        <v>44.338000000000001</v>
      </c>
      <c r="P15" s="47">
        <v>49.41</v>
      </c>
      <c r="Q15" s="48">
        <v>61.859999999999992</v>
      </c>
      <c r="R15" s="47" t="s">
        <v>158</v>
      </c>
      <c r="S15" s="52">
        <v>2019</v>
      </c>
    </row>
    <row r="16" spans="4:19" ht="15.75" x14ac:dyDescent="0.25">
      <c r="D16" t="s">
        <v>90</v>
      </c>
      <c r="E16">
        <v>65.17</v>
      </c>
      <c r="M16" s="51">
        <f t="shared" si="1"/>
        <v>17.391333333333328</v>
      </c>
      <c r="N16" s="48">
        <f t="shared" si="0"/>
        <v>10.36033333333333</v>
      </c>
      <c r="O16" s="47">
        <v>45.262</v>
      </c>
      <c r="P16" s="47">
        <v>52.292999999999999</v>
      </c>
      <c r="Q16" s="48">
        <v>62.653333333333329</v>
      </c>
      <c r="R16" s="47" t="s">
        <v>159</v>
      </c>
      <c r="S16" s="52">
        <v>2019</v>
      </c>
    </row>
    <row r="17" spans="4:19" ht="15.75" x14ac:dyDescent="0.25">
      <c r="D17" t="s">
        <v>91</v>
      </c>
      <c r="E17">
        <v>56.46</v>
      </c>
      <c r="M17" s="51">
        <f t="shared" si="1"/>
        <v>-0.62433333333333962</v>
      </c>
      <c r="N17" s="48">
        <f t="shared" si="0"/>
        <v>18.930666666666664</v>
      </c>
      <c r="O17" s="47">
        <v>51.151000000000003</v>
      </c>
      <c r="P17" s="47">
        <v>31.596</v>
      </c>
      <c r="Q17" s="48">
        <v>50.526666666666664</v>
      </c>
      <c r="R17" s="47" t="s">
        <v>156</v>
      </c>
      <c r="S17" s="52">
        <v>2020</v>
      </c>
    </row>
    <row r="18" spans="4:19" ht="15.75" x14ac:dyDescent="0.25">
      <c r="D18" t="s">
        <v>92</v>
      </c>
      <c r="E18">
        <v>59.27</v>
      </c>
      <c r="F18">
        <f t="shared" ref="F18:F63" si="2">AVERAGE(E18:E20)</f>
        <v>63.27</v>
      </c>
      <c r="M18" s="51"/>
      <c r="N18" s="48">
        <f t="shared" si="0"/>
        <v>15.648999999999996</v>
      </c>
      <c r="O18" s="47"/>
      <c r="P18" s="47">
        <v>15.781000000000001</v>
      </c>
      <c r="Q18" s="48">
        <v>31.429999999999996</v>
      </c>
      <c r="R18" s="47" t="s">
        <v>157</v>
      </c>
      <c r="S18" s="52">
        <v>2020</v>
      </c>
    </row>
    <row r="19" spans="4:19" ht="15.75" x14ac:dyDescent="0.25">
      <c r="D19" t="s">
        <v>93</v>
      </c>
      <c r="E19">
        <v>64.13</v>
      </c>
      <c r="M19" s="51"/>
      <c r="N19" s="48">
        <f t="shared" si="0"/>
        <v>11.050999999999998</v>
      </c>
      <c r="O19" s="47"/>
      <c r="P19" s="47">
        <v>31.669</v>
      </c>
      <c r="Q19" s="48">
        <v>42.72</v>
      </c>
      <c r="R19" s="47" t="s">
        <v>158</v>
      </c>
      <c r="S19" s="52">
        <v>2020</v>
      </c>
    </row>
    <row r="20" spans="4:19" ht="15.75" x14ac:dyDescent="0.25">
      <c r="D20" t="s">
        <v>94</v>
      </c>
      <c r="E20">
        <v>66.41</v>
      </c>
      <c r="M20" s="51"/>
      <c r="N20" s="48">
        <f t="shared" si="0"/>
        <v>12.013333333333335</v>
      </c>
      <c r="O20" s="47"/>
      <c r="P20" s="47">
        <v>32.51</v>
      </c>
      <c r="Q20" s="48">
        <v>44.523333333333333</v>
      </c>
      <c r="R20" s="47" t="s">
        <v>159</v>
      </c>
      <c r="S20" s="52">
        <v>2020</v>
      </c>
    </row>
    <row r="21" spans="4:19" ht="15.75" x14ac:dyDescent="0.25">
      <c r="D21" t="s">
        <v>95</v>
      </c>
      <c r="E21">
        <v>71.2</v>
      </c>
      <c r="F21">
        <f t="shared" si="2"/>
        <v>68.343333333333348</v>
      </c>
      <c r="M21" s="51">
        <f t="shared" si="1"/>
        <v>1.0926666666666662</v>
      </c>
      <c r="N21" s="48">
        <f t="shared" si="0"/>
        <v>11.605666666666664</v>
      </c>
      <c r="O21" s="47">
        <v>59.473999999999997</v>
      </c>
      <c r="P21" s="47">
        <v>48.960999999999999</v>
      </c>
      <c r="Q21" s="48">
        <v>60.566666666666663</v>
      </c>
      <c r="R21" s="47" t="s">
        <v>156</v>
      </c>
      <c r="S21" s="52">
        <v>2021</v>
      </c>
    </row>
    <row r="22" spans="4:19" ht="15.75" x14ac:dyDescent="0.25">
      <c r="D22" t="s">
        <v>96</v>
      </c>
      <c r="E22">
        <v>70.53</v>
      </c>
      <c r="M22" s="51">
        <f t="shared" si="1"/>
        <v>4.4276666666666671</v>
      </c>
      <c r="N22" s="48">
        <f t="shared" si="0"/>
        <v>10.920666666666662</v>
      </c>
      <c r="O22" s="47">
        <v>64.198999999999998</v>
      </c>
      <c r="P22" s="47">
        <v>57.706000000000003</v>
      </c>
      <c r="Q22" s="48">
        <v>68.626666666666665</v>
      </c>
      <c r="R22" s="47" t="s">
        <v>157</v>
      </c>
      <c r="S22" s="52">
        <v>2021</v>
      </c>
    </row>
    <row r="23" spans="4:19" ht="15.75" x14ac:dyDescent="0.25">
      <c r="D23" t="s">
        <v>97</v>
      </c>
      <c r="E23">
        <v>63.3</v>
      </c>
      <c r="M23" s="51">
        <f t="shared" si="1"/>
        <v>23.158333333333331</v>
      </c>
      <c r="N23" s="48">
        <f t="shared" si="0"/>
        <v>10.135333333333328</v>
      </c>
      <c r="O23" s="47">
        <v>49.844999999999999</v>
      </c>
      <c r="P23" s="47">
        <v>62.868000000000002</v>
      </c>
      <c r="Q23" s="48">
        <v>73.00333333333333</v>
      </c>
      <c r="R23" s="47" t="s">
        <v>158</v>
      </c>
      <c r="S23" s="52">
        <v>2021</v>
      </c>
    </row>
    <row r="24" spans="4:19" ht="15.75" x14ac:dyDescent="0.25">
      <c r="D24" t="s">
        <v>98</v>
      </c>
      <c r="E24">
        <v>64</v>
      </c>
      <c r="F24">
        <f t="shared" si="2"/>
        <v>61.859999999999992</v>
      </c>
      <c r="M24" s="51">
        <f t="shared" si="1"/>
        <v>23.835666666666668</v>
      </c>
      <c r="N24" s="48">
        <f t="shared" si="0"/>
        <v>11.146666666666661</v>
      </c>
      <c r="O24" s="47">
        <v>55.741</v>
      </c>
      <c r="P24" s="47">
        <v>68.430000000000007</v>
      </c>
      <c r="Q24" s="48">
        <v>79.576666666666668</v>
      </c>
      <c r="R24" s="47" t="s">
        <v>159</v>
      </c>
      <c r="S24" s="52">
        <v>2021</v>
      </c>
    </row>
    <row r="25" spans="4:19" ht="15.75" x14ac:dyDescent="0.25">
      <c r="D25" t="s">
        <v>99</v>
      </c>
      <c r="E25">
        <v>59.25</v>
      </c>
      <c r="M25" s="51">
        <f t="shared" si="1"/>
        <v>14.72999999999999</v>
      </c>
      <c r="N25" s="48">
        <f t="shared" si="0"/>
        <v>12.22999999999999</v>
      </c>
      <c r="O25" s="47">
        <v>84.23</v>
      </c>
      <c r="P25" s="47">
        <v>86.73</v>
      </c>
      <c r="Q25" s="48">
        <v>98.96</v>
      </c>
      <c r="R25" s="47" t="s">
        <v>156</v>
      </c>
      <c r="S25" s="52">
        <v>2022</v>
      </c>
    </row>
    <row r="26" spans="4:19" ht="15.75" x14ac:dyDescent="0.25">
      <c r="D26" t="s">
        <v>100</v>
      </c>
      <c r="E26">
        <v>62.33</v>
      </c>
      <c r="M26" s="51">
        <f t="shared" si="1"/>
        <v>58.657333333333341</v>
      </c>
      <c r="N26" s="48">
        <f t="shared" si="0"/>
        <v>12.355333333333334</v>
      </c>
      <c r="O26" s="47">
        <v>54.085999999999999</v>
      </c>
      <c r="P26" s="47">
        <v>100.38800000000001</v>
      </c>
      <c r="Q26" s="48">
        <v>112.74333333333334</v>
      </c>
      <c r="R26" s="47" t="s">
        <v>157</v>
      </c>
      <c r="S26" s="52">
        <v>2022</v>
      </c>
    </row>
    <row r="27" spans="4:19" ht="15.75" x14ac:dyDescent="0.25">
      <c r="D27" t="s">
        <v>101</v>
      </c>
      <c r="E27">
        <v>59.37</v>
      </c>
      <c r="F27">
        <f t="shared" si="2"/>
        <v>62.653333333333329</v>
      </c>
      <c r="M27" s="53"/>
      <c r="N27" s="48"/>
      <c r="O27" s="47"/>
      <c r="P27" s="47"/>
      <c r="Q27" s="48">
        <v>99.226666666666645</v>
      </c>
      <c r="R27" s="47" t="s">
        <v>158</v>
      </c>
      <c r="S27" s="52">
        <v>2022</v>
      </c>
    </row>
    <row r="28" spans="4:19" ht="16.5" thickBot="1" x14ac:dyDescent="0.3">
      <c r="D28" t="s">
        <v>102</v>
      </c>
      <c r="E28">
        <v>62.74</v>
      </c>
      <c r="M28" s="54"/>
      <c r="N28" s="55"/>
      <c r="O28" s="55"/>
      <c r="P28" s="55"/>
      <c r="Q28" s="56">
        <v>88.366666666666674</v>
      </c>
      <c r="R28" s="55" t="s">
        <v>159</v>
      </c>
      <c r="S28" s="57">
        <v>2022</v>
      </c>
    </row>
    <row r="29" spans="4:19" x14ac:dyDescent="0.25">
      <c r="D29" t="s">
        <v>103</v>
      </c>
      <c r="E29">
        <v>65.849999999999994</v>
      </c>
    </row>
    <row r="30" spans="4:19" x14ac:dyDescent="0.25">
      <c r="D30" t="s">
        <v>104</v>
      </c>
      <c r="E30">
        <v>63.6</v>
      </c>
      <c r="F30">
        <f t="shared" si="2"/>
        <v>50.526666666666664</v>
      </c>
    </row>
    <row r="31" spans="4:19" x14ac:dyDescent="0.25">
      <c r="D31" t="s">
        <v>105</v>
      </c>
      <c r="E31">
        <v>55</v>
      </c>
    </row>
    <row r="32" spans="4:19" x14ac:dyDescent="0.25">
      <c r="D32" t="s">
        <v>106</v>
      </c>
      <c r="E32">
        <v>32.979999999999997</v>
      </c>
    </row>
    <row r="33" spans="4:6" x14ac:dyDescent="0.25">
      <c r="D33" t="s">
        <v>107</v>
      </c>
      <c r="E33">
        <v>23.34</v>
      </c>
      <c r="F33">
        <f t="shared" si="2"/>
        <v>31.429999999999996</v>
      </c>
    </row>
    <row r="34" spans="4:6" x14ac:dyDescent="0.25">
      <c r="D34" t="s">
        <v>108</v>
      </c>
      <c r="E34">
        <v>31.02</v>
      </c>
    </row>
    <row r="35" spans="4:6" x14ac:dyDescent="0.25">
      <c r="D35" t="s">
        <v>109</v>
      </c>
      <c r="E35">
        <v>39.93</v>
      </c>
    </row>
    <row r="36" spans="4:6" x14ac:dyDescent="0.25">
      <c r="D36" t="s">
        <v>110</v>
      </c>
      <c r="E36">
        <v>42.81</v>
      </c>
      <c r="F36">
        <f t="shared" si="2"/>
        <v>42.72</v>
      </c>
    </row>
    <row r="37" spans="4:6" x14ac:dyDescent="0.25">
      <c r="D37" t="s">
        <v>111</v>
      </c>
      <c r="E37">
        <v>44.26</v>
      </c>
    </row>
    <row r="38" spans="4:6" x14ac:dyDescent="0.25">
      <c r="D38" t="s">
        <v>112</v>
      </c>
      <c r="E38">
        <v>41.09</v>
      </c>
    </row>
    <row r="39" spans="4:6" x14ac:dyDescent="0.25">
      <c r="D39" t="s">
        <v>113</v>
      </c>
      <c r="E39">
        <v>40.47</v>
      </c>
      <c r="F39">
        <f t="shared" si="2"/>
        <v>44.523333333333333</v>
      </c>
    </row>
    <row r="40" spans="4:6" x14ac:dyDescent="0.25">
      <c r="D40" t="s">
        <v>114</v>
      </c>
      <c r="E40">
        <v>43.23</v>
      </c>
    </row>
    <row r="41" spans="4:6" x14ac:dyDescent="0.25">
      <c r="D41" t="s">
        <v>115</v>
      </c>
      <c r="E41">
        <v>49.87</v>
      </c>
    </row>
    <row r="42" spans="4:6" x14ac:dyDescent="0.25">
      <c r="D42" t="s">
        <v>116</v>
      </c>
      <c r="E42">
        <v>54.55</v>
      </c>
      <c r="F42">
        <f t="shared" si="2"/>
        <v>60.566666666666663</v>
      </c>
    </row>
    <row r="43" spans="4:6" x14ac:dyDescent="0.25">
      <c r="D43" t="s">
        <v>117</v>
      </c>
      <c r="E43">
        <v>61.96</v>
      </c>
    </row>
    <row r="44" spans="4:6" x14ac:dyDescent="0.25">
      <c r="D44" t="s">
        <v>118</v>
      </c>
      <c r="E44">
        <v>65.19</v>
      </c>
    </row>
    <row r="45" spans="4:6" x14ac:dyDescent="0.25">
      <c r="D45" t="s">
        <v>119</v>
      </c>
      <c r="E45">
        <v>64.77</v>
      </c>
      <c r="F45">
        <f t="shared" si="2"/>
        <v>68.626666666666665</v>
      </c>
    </row>
    <row r="46" spans="4:6" x14ac:dyDescent="0.25">
      <c r="D46" t="s">
        <v>120</v>
      </c>
      <c r="E46">
        <v>68.040000000000006</v>
      </c>
    </row>
    <row r="47" spans="4:6" x14ac:dyDescent="0.25">
      <c r="D47" t="s">
        <v>121</v>
      </c>
      <c r="E47">
        <v>73.069999999999993</v>
      </c>
    </row>
    <row r="48" spans="4:6" x14ac:dyDescent="0.25">
      <c r="D48" t="s">
        <v>122</v>
      </c>
      <c r="E48">
        <v>74.39</v>
      </c>
      <c r="F48">
        <f t="shared" si="2"/>
        <v>73.00333333333333</v>
      </c>
    </row>
    <row r="49" spans="4:6" x14ac:dyDescent="0.25">
      <c r="D49" t="s">
        <v>123</v>
      </c>
      <c r="E49">
        <v>70.02</v>
      </c>
    </row>
    <row r="50" spans="4:6" x14ac:dyDescent="0.25">
      <c r="D50" t="s">
        <v>124</v>
      </c>
      <c r="E50">
        <v>74.599999999999994</v>
      </c>
    </row>
    <row r="51" spans="4:6" x14ac:dyDescent="0.25">
      <c r="D51" t="s">
        <v>125</v>
      </c>
      <c r="E51">
        <v>83.65</v>
      </c>
      <c r="F51">
        <f t="shared" si="2"/>
        <v>79.576666666666668</v>
      </c>
    </row>
    <row r="52" spans="4:6" x14ac:dyDescent="0.25">
      <c r="D52" t="s">
        <v>126</v>
      </c>
      <c r="E52">
        <v>80.77</v>
      </c>
    </row>
    <row r="53" spans="4:6" x14ac:dyDescent="0.25">
      <c r="D53" t="s">
        <v>127</v>
      </c>
      <c r="E53">
        <v>74.31</v>
      </c>
    </row>
    <row r="54" spans="4:6" x14ac:dyDescent="0.25">
      <c r="D54" t="s">
        <v>128</v>
      </c>
      <c r="E54">
        <v>85.53</v>
      </c>
      <c r="F54">
        <f t="shared" si="2"/>
        <v>98.96</v>
      </c>
    </row>
    <row r="55" spans="4:6" x14ac:dyDescent="0.25">
      <c r="D55" t="s">
        <v>129</v>
      </c>
      <c r="E55">
        <v>95.76</v>
      </c>
    </row>
    <row r="56" spans="4:6" x14ac:dyDescent="0.25">
      <c r="D56" t="s">
        <v>130</v>
      </c>
      <c r="E56">
        <v>115.59</v>
      </c>
    </row>
    <row r="57" spans="4:6" x14ac:dyDescent="0.25">
      <c r="D57" t="s">
        <v>131</v>
      </c>
      <c r="E57">
        <v>105.78</v>
      </c>
      <c r="F57">
        <f t="shared" si="2"/>
        <v>112.74333333333334</v>
      </c>
    </row>
    <row r="58" spans="4:6" x14ac:dyDescent="0.25">
      <c r="D58" t="s">
        <v>132</v>
      </c>
      <c r="E58">
        <v>112.37</v>
      </c>
    </row>
    <row r="59" spans="4:6" x14ac:dyDescent="0.25">
      <c r="D59" t="s">
        <v>133</v>
      </c>
      <c r="E59">
        <v>120.08</v>
      </c>
    </row>
    <row r="60" spans="4:6" x14ac:dyDescent="0.25">
      <c r="D60" t="s">
        <v>134</v>
      </c>
      <c r="E60">
        <v>108.92</v>
      </c>
      <c r="F60">
        <f t="shared" si="2"/>
        <v>99.226666666666645</v>
      </c>
    </row>
    <row r="61" spans="4:6" x14ac:dyDescent="0.25">
      <c r="D61" t="s">
        <v>135</v>
      </c>
      <c r="E61">
        <v>98.6</v>
      </c>
    </row>
    <row r="62" spans="4:6" x14ac:dyDescent="0.25">
      <c r="D62" t="s">
        <v>136</v>
      </c>
      <c r="E62">
        <v>90.16</v>
      </c>
    </row>
    <row r="63" spans="4:6" x14ac:dyDescent="0.25">
      <c r="D63" t="s">
        <v>137</v>
      </c>
      <c r="E63">
        <v>93.13</v>
      </c>
      <c r="F63">
        <f t="shared" si="2"/>
        <v>88.366666666666674</v>
      </c>
    </row>
    <row r="64" spans="4:6" x14ac:dyDescent="0.25">
      <c r="D64" t="s">
        <v>138</v>
      </c>
      <c r="E64">
        <v>91.07</v>
      </c>
    </row>
    <row r="65" spans="4:5" x14ac:dyDescent="0.25">
      <c r="D65" t="s">
        <v>139</v>
      </c>
      <c r="E65">
        <v>80.900000000000006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ALL KRI MNR DATA (2018-2022)</vt:lpstr>
      <vt:lpstr>2022</vt:lpstr>
      <vt:lpstr>2021</vt:lpstr>
      <vt:lpstr>2020</vt:lpstr>
      <vt:lpstr>2019</vt:lpstr>
      <vt:lpstr>2018</vt:lpstr>
      <vt:lpstr>G Differe KRI &amp; Brent</vt:lpstr>
      <vt:lpstr>G brent &amp; KRI Price</vt:lpstr>
      <vt:lpstr>KRI &amp; Brent Price</vt:lpstr>
      <vt:lpstr>G Revenue</vt:lpstr>
      <vt:lpstr>Revnue, Cost &amp; NetIncome KRI</vt:lpstr>
      <vt:lpstr>G All Oil Export Ex &amp;In</vt:lpstr>
      <vt:lpstr>All Oil Export Ex &amp;In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Mahmood</dc:creator>
  <cp:lastModifiedBy>Mahmood</cp:lastModifiedBy>
  <dcterms:created xsi:type="dcterms:W3CDTF">2023-01-19T10:23:33Z</dcterms:created>
  <dcterms:modified xsi:type="dcterms:W3CDTF">2023-03-29T12:45:37Z</dcterms:modified>
</cp:coreProperties>
</file>